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2980" windowHeight="22875" tabRatio="829" activeTab="2"/>
  </bookViews>
  <sheets>
    <sheet name="신고의무" sheetId="1" r:id="rId1"/>
    <sheet name="재무제표" sheetId="2" r:id="rId2"/>
    <sheet name="기부금" sheetId="3" r:id="rId3"/>
    <sheet name="법인세" sheetId="4" r:id="rId4"/>
    <sheet name="지방세" sheetId="5" r:id="rId5"/>
    <sheet name="출현현황" sheetId="6" r:id="rId6"/>
    <sheet name="운용소득" sheetId="7" r:id="rId7"/>
  </sheets>
  <externalReferences>
    <externalReference r:id="rId10"/>
  </externalReferences>
  <definedNames>
    <definedName name="_xlnm.Print_Area" localSheetId="1">'재무제표'!$A$1:$G$52,'재무제표'!$I$1:$O$37</definedName>
  </definedNames>
  <calcPr fullCalcOnLoad="1"/>
</workbook>
</file>

<file path=xl/comments4.xml><?xml version="1.0" encoding="utf-8"?>
<comments xmlns="http://schemas.openxmlformats.org/spreadsheetml/2006/main">
  <authors>
    <author>YEILAC</author>
  </authors>
  <commentList>
    <comment ref="A21" authorId="0">
      <text>
        <r>
          <rPr>
            <b/>
            <sz val="9"/>
            <rFont val="Tahoma"/>
            <family val="2"/>
          </rPr>
          <t>2016</t>
        </r>
        <r>
          <rPr>
            <b/>
            <sz val="9"/>
            <rFont val="돋움"/>
            <family val="3"/>
          </rPr>
          <t>년도부터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이월결손금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공제한도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도입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법인세법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13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【과세표준</t>
        </r>
        <r>
          <rPr>
            <sz val="9"/>
            <rFont val="돋움"/>
            <family val="3"/>
          </rPr>
          <t>】</t>
        </r>
        <r>
          <rPr>
            <sz val="9"/>
            <rFont val="Tahoma"/>
            <family val="2"/>
          </rPr>
          <t xml:space="preserve"> 
</t>
        </r>
        <r>
          <rPr>
            <sz val="9"/>
            <rFont val="돋움"/>
            <family val="3"/>
          </rPr>
          <t>내국법인의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다만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「조세특례제한법」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5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중소기업과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대통령령으로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정하는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법인을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제외한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내국법인의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경우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제</t>
        </r>
        <r>
          <rPr>
            <u val="single"/>
            <sz val="9"/>
            <rFont val="Tahoma"/>
            <family val="2"/>
          </rPr>
          <t>1</t>
        </r>
        <r>
          <rPr>
            <u val="single"/>
            <sz val="9"/>
            <rFont val="돋움"/>
            <family val="3"/>
          </rPr>
          <t>호의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금액에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대한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공제의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범위는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각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사업연도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소득의</t>
        </r>
        <r>
          <rPr>
            <u val="single"/>
            <sz val="9"/>
            <rFont val="Tahoma"/>
            <family val="2"/>
          </rPr>
          <t xml:space="preserve"> 100</t>
        </r>
        <r>
          <rPr>
            <u val="single"/>
            <sz val="9"/>
            <rFont val="돋움"/>
            <family val="3"/>
          </rPr>
          <t>분의</t>
        </r>
        <r>
          <rPr>
            <u val="single"/>
            <sz val="9"/>
            <rFont val="Tahoma"/>
            <family val="2"/>
          </rPr>
          <t xml:space="preserve"> 80</t>
        </r>
        <r>
          <rPr>
            <u val="single"/>
            <sz val="9"/>
            <rFont val="돋움"/>
            <family val="3"/>
          </rPr>
          <t>으로</t>
        </r>
        <r>
          <rPr>
            <u val="single"/>
            <sz val="9"/>
            <rFont val="Tahoma"/>
            <family val="2"/>
          </rPr>
          <t xml:space="preserve"> </t>
        </r>
        <r>
          <rPr>
            <u val="single"/>
            <sz val="9"/>
            <rFont val="돋움"/>
            <family val="3"/>
          </rPr>
          <t>한다</t>
        </r>
        <r>
          <rPr>
            <u val="single"/>
            <sz val="9"/>
            <rFont val="Tahoma"/>
            <family val="2"/>
          </rPr>
          <t>.</t>
        </r>
        <r>
          <rPr>
            <sz val="9"/>
            <rFont val="Tahoma"/>
            <family val="2"/>
          </rPr>
          <t xml:space="preserve">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2015.12.15&gt;
1.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전</t>
        </r>
        <r>
          <rPr>
            <sz val="9"/>
            <rFont val="Tahoma"/>
            <family val="2"/>
          </rPr>
          <t xml:space="preserve"> 10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이내에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개시한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계산을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60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신고하거나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66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결정ㆍ경정되거나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「국세기본법」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수정신고한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해당한다</t>
        </r>
        <r>
          <rPr>
            <sz val="9"/>
            <rFont val="Tahoma"/>
            <family val="2"/>
          </rPr>
          <t xml:space="preserve">.
</t>
        </r>
        <r>
          <rPr>
            <sz val="9"/>
            <rFont val="돋움"/>
            <family val="3"/>
          </rPr>
          <t xml:space="preserve">
</t>
        </r>
        <r>
          <rPr>
            <b/>
            <sz val="9"/>
            <rFont val="돋움"/>
            <family val="3"/>
          </rPr>
          <t>제</t>
        </r>
        <r>
          <rPr>
            <b/>
            <sz val="9"/>
            <rFont val="Tahoma"/>
            <family val="2"/>
          </rPr>
          <t>10</t>
        </r>
        <r>
          <rPr>
            <b/>
            <sz val="9"/>
            <rFont val="돋움"/>
            <family val="3"/>
          </rPr>
          <t>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【결손금공제】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단서에서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대통령령으로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정하는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말한다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2016.2.12, 2016.4.29&gt;
1. </t>
        </r>
        <r>
          <rPr>
            <sz val="9"/>
            <rFont val="돋움"/>
            <family val="3"/>
          </rPr>
          <t>「채무자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파산에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245</t>
        </r>
        <r>
          <rPr>
            <sz val="9"/>
            <rFont val="돋움"/>
            <family val="3"/>
          </rPr>
          <t>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법원이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인가결정한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회생계획을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「기업구조조정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촉진법」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14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약정을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기업개선계획을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보유하고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「금융실명거래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비밀보장에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금융회사등과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협약을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경영정상화계획을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이행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법인
</t>
        </r>
        <r>
          <rPr>
            <sz val="9"/>
            <rFont val="Tahoma"/>
            <family val="2"/>
          </rPr>
          <t xml:space="preserve">4. </t>
        </r>
        <r>
          <rPr>
            <sz val="9"/>
            <rFont val="돋움"/>
            <family val="3"/>
          </rPr>
          <t>채권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부동산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재산권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유동화자산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이라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기초로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「자본시장과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금융투자업에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법률」에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증권을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발행하거나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차입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이하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항에서</t>
        </r>
        <r>
          <rPr>
            <sz val="9"/>
            <rFont val="Tahoma"/>
            <family val="2"/>
          </rPr>
          <t xml:space="preserve"> "</t>
        </r>
        <r>
          <rPr>
            <sz val="9"/>
            <rFont val="돋움"/>
            <family val="3"/>
          </rPr>
          <t>유동화거래</t>
        </r>
        <r>
          <rPr>
            <sz val="9"/>
            <rFont val="Tahoma"/>
            <family val="2"/>
          </rPr>
          <t>"</t>
        </r>
        <r>
          <rPr>
            <sz val="9"/>
            <rFont val="돋움"/>
            <family val="3"/>
          </rPr>
          <t>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한다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목의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요건을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갖춘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
가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「상법」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밖의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법률에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주식회사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유한회사일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나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한시적으로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설립된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법인으로서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상근하는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임원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직원을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두지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다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정관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등에서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필요한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한정하고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유동화거래에서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예정하지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아니한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합병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청산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해산이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금지될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라</t>
        </r>
        <r>
          <rPr>
            <sz val="9"/>
            <rFont val="Tahoma"/>
            <family val="2"/>
          </rPr>
          <t xml:space="preserve">. </t>
        </r>
        <r>
          <rPr>
            <sz val="9"/>
            <rFont val="돋움"/>
            <family val="3"/>
          </rPr>
          <t>유동화거래를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회사의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관리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운영을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위하여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업무위탁계약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자산관리위탁계약이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체결될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마</t>
        </r>
        <r>
          <rPr>
            <sz val="9"/>
            <rFont val="Tahoma"/>
            <family val="2"/>
          </rPr>
          <t>. 2015</t>
        </r>
        <r>
          <rPr>
            <sz val="9"/>
            <rFont val="돋움"/>
            <family val="3"/>
          </rPr>
          <t>년</t>
        </r>
        <r>
          <rPr>
            <sz val="9"/>
            <rFont val="Tahoma"/>
            <family val="2"/>
          </rPr>
          <t xml:space="preserve"> 12</t>
        </r>
        <r>
          <rPr>
            <sz val="9"/>
            <rFont val="돋움"/>
            <family val="3"/>
          </rPr>
          <t>월</t>
        </r>
        <r>
          <rPr>
            <sz val="9"/>
            <rFont val="Tahoma"/>
            <family val="2"/>
          </rPr>
          <t xml:space="preserve"> 31</t>
        </r>
        <r>
          <rPr>
            <sz val="9"/>
            <rFont val="돋움"/>
            <family val="3"/>
          </rPr>
          <t>일까지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유동화자산의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취득을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완료하였을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
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의한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먼저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순차로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2016.2.12&gt;
</t>
        </r>
        <r>
          <rPr>
            <sz val="9"/>
            <rFont val="돋움"/>
            <family val="3"/>
          </rPr>
          <t>③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적용함에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다음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어느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하나에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과세표준계산에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있어서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본다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2006.2.9, 2011.3.31, 2016.2.12&gt;
1.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17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결손금
</t>
        </r>
        <r>
          <rPr>
            <sz val="9"/>
            <rFont val="Tahoma"/>
            <family val="2"/>
          </rPr>
          <t xml:space="preserve">2.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6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자산의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가액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채무의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면제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소멸로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인한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감소액으로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충당된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이월결손금
</t>
        </r>
        <r>
          <rPr>
            <sz val="9"/>
            <rFont val="Tahoma"/>
            <family val="2"/>
          </rPr>
          <t xml:space="preserve">3.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72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규정에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공제받은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
④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1</t>
        </r>
        <r>
          <rPr>
            <sz val="9"/>
            <rFont val="돋움"/>
            <family val="3"/>
          </rPr>
          <t>호에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81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83</t>
        </r>
        <r>
          <rPr>
            <sz val="9"/>
            <rFont val="돋움"/>
            <family val="3"/>
          </rPr>
          <t>조제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승계결손금의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범위액을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포함한다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개정</t>
        </r>
        <r>
          <rPr>
            <sz val="9"/>
            <rFont val="Tahoma"/>
            <family val="2"/>
          </rPr>
          <t xml:space="preserve"> 2010.6.8, 2016.2.12&gt;
</t>
        </r>
        <r>
          <rPr>
            <sz val="9"/>
            <rFont val="돋움"/>
            <family val="3"/>
          </rPr>
          <t>⑤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「조세특례제한법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시행령」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100</t>
        </r>
        <r>
          <rPr>
            <sz val="9"/>
            <rFont val="돋움"/>
            <family val="3"/>
          </rPr>
          <t>조의</t>
        </r>
        <r>
          <rPr>
            <sz val="9"/>
            <rFont val="Tahoma"/>
            <family val="2"/>
          </rPr>
          <t>18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따른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손금에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산입한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법인의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추가로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배분받은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중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것에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상당하는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금액은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배분한도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초과결손금이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동업기업의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종료일이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속하는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사업연도에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발생한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결손금으로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보아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</t>
        </r>
        <r>
          <rPr>
            <sz val="9"/>
            <rFont val="Tahoma"/>
            <family val="2"/>
          </rPr>
          <t>2</t>
        </r>
        <r>
          <rPr>
            <sz val="9"/>
            <rFont val="돋움"/>
            <family val="3"/>
          </rPr>
          <t>항을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적용한다</t>
        </r>
        <r>
          <rPr>
            <sz val="9"/>
            <rFont val="Tahoma"/>
            <family val="2"/>
          </rPr>
          <t>. &lt;</t>
        </r>
        <r>
          <rPr>
            <sz val="9"/>
            <rFont val="돋움"/>
            <family val="3"/>
          </rPr>
          <t>신설</t>
        </r>
        <r>
          <rPr>
            <sz val="9"/>
            <rFont val="Tahoma"/>
            <family val="2"/>
          </rPr>
          <t xml:space="preserve"> 2009.2.4, 2016.2.12&gt;
</t>
        </r>
        <r>
          <rPr>
            <sz val="9"/>
            <rFont val="돋움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<sst xmlns="http://schemas.openxmlformats.org/spreadsheetml/2006/main" count="379" uniqueCount="347">
  <si>
    <t>1.고유목적사업준비금</t>
  </si>
  <si>
    <t>구분</t>
  </si>
  <si>
    <t>기초</t>
  </si>
  <si>
    <t>감소</t>
  </si>
  <si>
    <t>증가</t>
  </si>
  <si>
    <t>기말</t>
  </si>
  <si>
    <t>세무한도</t>
  </si>
  <si>
    <t>한도초과</t>
  </si>
  <si>
    <t>한도분 미사용</t>
  </si>
  <si>
    <t>한도초과분 미사용액</t>
  </si>
  <si>
    <t>2.손익</t>
  </si>
  <si>
    <t>구분</t>
  </si>
  <si>
    <t>수익사업</t>
  </si>
  <si>
    <t>목적사업</t>
  </si>
  <si>
    <t>합계</t>
  </si>
  <si>
    <t>이자</t>
  </si>
  <si>
    <t>부동산</t>
  </si>
  <si>
    <t>계</t>
  </si>
  <si>
    <t>고목준수입</t>
  </si>
  <si>
    <t>기부금수입</t>
  </si>
  <si>
    <t>수입</t>
  </si>
  <si>
    <t>필요경비</t>
  </si>
  <si>
    <t>순이익</t>
  </si>
  <si>
    <t>세무조정 요약</t>
  </si>
  <si>
    <t>수입금액</t>
  </si>
  <si>
    <t>소득처분</t>
  </si>
  <si>
    <t>법인세</t>
  </si>
  <si>
    <t>고유목적사업준비금</t>
  </si>
  <si>
    <t>기사</t>
  </si>
  <si>
    <t>유보</t>
  </si>
  <si>
    <t>가산세</t>
  </si>
  <si>
    <t>구분</t>
  </si>
  <si>
    <t>인원</t>
  </si>
  <si>
    <t>건물연면적</t>
  </si>
  <si>
    <t>비율</t>
  </si>
  <si>
    <t>산출세액</t>
  </si>
  <si>
    <t>공제세액</t>
  </si>
  <si>
    <t>가산세</t>
  </si>
  <si>
    <t>기납부세액</t>
  </si>
  <si>
    <t>납부할세액</t>
  </si>
  <si>
    <t>합계</t>
  </si>
  <si>
    <t>운용소득</t>
  </si>
  <si>
    <t>구분</t>
  </si>
  <si>
    <t>사용대상</t>
  </si>
  <si>
    <t>전기사용</t>
  </si>
  <si>
    <t>당기사용</t>
  </si>
  <si>
    <t>미사용</t>
  </si>
  <si>
    <t>계</t>
  </si>
  <si>
    <t>출연재산</t>
  </si>
  <si>
    <t>운용소득+출연재산</t>
  </si>
  <si>
    <t>각사업연도소득금액</t>
  </si>
  <si>
    <t>세무조정금액</t>
  </si>
  <si>
    <t>차가감소득</t>
  </si>
  <si>
    <t>기준미달사용액</t>
  </si>
  <si>
    <t>운용소득미달사용가산세</t>
  </si>
  <si>
    <t>해당사업연도운용소득</t>
  </si>
  <si>
    <t>고유목적사업준비금</t>
  </si>
  <si>
    <t>기타</t>
  </si>
  <si>
    <t>출연재산양도차익</t>
  </si>
  <si>
    <t>법인세등</t>
  </si>
  <si>
    <t>이월결손금</t>
  </si>
  <si>
    <t>가산액</t>
  </si>
  <si>
    <t>차감액</t>
  </si>
  <si>
    <t>전기</t>
  </si>
  <si>
    <t>19년</t>
  </si>
  <si>
    <t>20년</t>
  </si>
  <si>
    <t>21년</t>
  </si>
  <si>
    <t>22년</t>
  </si>
  <si>
    <t>23년</t>
  </si>
  <si>
    <t>24년</t>
  </si>
  <si>
    <t>재무상태표</t>
  </si>
  <si>
    <t>손익계산서</t>
  </si>
  <si>
    <t>제1기2019년12월31일현재</t>
  </si>
  <si>
    <t>제1(당)기2019년4월7일부터2019년12월31일까지</t>
  </si>
  <si>
    <t>회사명:(재)문화영토연구원(수익)</t>
  </si>
  <si>
    <t>과목</t>
  </si>
  <si>
    <t>Ⅰ.매출액</t>
  </si>
  <si>
    <t>자산</t>
  </si>
  <si>
    <t>임대료수입</t>
  </si>
  <si>
    <t>Ⅰ.유동자산</t>
  </si>
  <si>
    <t>기부금수입</t>
  </si>
  <si>
    <t>(1)당좌자산</t>
  </si>
  <si>
    <t>고유목적준비금수입</t>
  </si>
  <si>
    <t>보통예금</t>
  </si>
  <si>
    <t>Ⅱ.매출원가</t>
  </si>
  <si>
    <t>미수금</t>
  </si>
  <si>
    <t>Ⅲ.매출총이익</t>
  </si>
  <si>
    <t>선납세금</t>
  </si>
  <si>
    <t>Ⅳ.판매비와관리비</t>
  </si>
  <si>
    <t>선급금</t>
  </si>
  <si>
    <t>잡급</t>
  </si>
  <si>
    <t>(2)재고자산</t>
  </si>
  <si>
    <t>복리후생비</t>
  </si>
  <si>
    <t>Ⅱ.비유동자산</t>
  </si>
  <si>
    <t>통신비</t>
  </si>
  <si>
    <t>(1)투자자산</t>
  </si>
  <si>
    <t>세금과공과금</t>
  </si>
  <si>
    <t>(2)유형자산</t>
  </si>
  <si>
    <t>감가상각비</t>
  </si>
  <si>
    <t>토지</t>
  </si>
  <si>
    <t>보험료</t>
  </si>
  <si>
    <t>건물</t>
  </si>
  <si>
    <t>차량유지비</t>
  </si>
  <si>
    <t>감가상각누계액</t>
  </si>
  <si>
    <t>운반비</t>
  </si>
  <si>
    <t>차량운반구</t>
  </si>
  <si>
    <t>도서인쇄비</t>
  </si>
  <si>
    <t>소모품비</t>
  </si>
  <si>
    <t>비품</t>
  </si>
  <si>
    <t>지급수수료</t>
  </si>
  <si>
    <t>외주용역비</t>
  </si>
  <si>
    <t>(3)무형자산</t>
  </si>
  <si>
    <t>Ⅴ.영업이익</t>
  </si>
  <si>
    <t>소프트웨어</t>
  </si>
  <si>
    <t>Ⅵ.영업외수익</t>
  </si>
  <si>
    <t>(4)기타비유동자산</t>
  </si>
  <si>
    <t>자산총계</t>
  </si>
  <si>
    <t>잡이익</t>
  </si>
  <si>
    <t>부채</t>
  </si>
  <si>
    <t>Ⅶ.영업외비용</t>
  </si>
  <si>
    <t>Ⅰ.유동부채</t>
  </si>
  <si>
    <t>미지급금</t>
  </si>
  <si>
    <t>잡손실</t>
  </si>
  <si>
    <t>미지급세금</t>
  </si>
  <si>
    <t>Ⅷ.법인세차감전이익</t>
  </si>
  <si>
    <t>미지급비용</t>
  </si>
  <si>
    <t>Ⅸ.법인세등</t>
  </si>
  <si>
    <t>단기차입금</t>
  </si>
  <si>
    <t>Ⅹ.당기순이익</t>
  </si>
  <si>
    <t>Ⅱ.비유동부채</t>
  </si>
  <si>
    <t>부채총계</t>
  </si>
  <si>
    <t>자본</t>
  </si>
  <si>
    <t>Ⅰ.자본금</t>
  </si>
  <si>
    <t>출연기본금</t>
  </si>
  <si>
    <t>Ⅱ.자본잉여금</t>
  </si>
  <si>
    <t>Ⅲ.자본조정</t>
  </si>
  <si>
    <t>Ⅳ.기타포괄손익누계액</t>
  </si>
  <si>
    <t>Ⅴ.이익잉여금</t>
  </si>
  <si>
    <t>미처분이익잉여금</t>
  </si>
  <si>
    <t>(당기순이익)</t>
  </si>
  <si>
    <t>당기:46,793,675원</t>
  </si>
  <si>
    <t>전기:0원</t>
  </si>
  <si>
    <t>자본총계</t>
  </si>
  <si>
    <t>부채및자본총계</t>
  </si>
  <si>
    <t>동대문</t>
  </si>
  <si>
    <t>파주시</t>
  </si>
  <si>
    <t>이자수익</t>
  </si>
  <si>
    <t>고유목적준비금전입액</t>
  </si>
  <si>
    <t>건물</t>
  </si>
  <si>
    <t>취득비용</t>
  </si>
  <si>
    <t>장부가액</t>
  </si>
  <si>
    <t>구분</t>
  </si>
  <si>
    <t>수익사업</t>
  </si>
  <si>
    <t>목적사업</t>
  </si>
  <si>
    <t>기타</t>
  </si>
  <si>
    <t>현금</t>
  </si>
  <si>
    <t>합계</t>
  </si>
  <si>
    <t>과목</t>
  </si>
  <si>
    <t>계</t>
  </si>
  <si>
    <t>동패2-2</t>
  </si>
  <si>
    <t>동패2-17</t>
  </si>
  <si>
    <t>19.6.28~24.12.31</t>
  </si>
  <si>
    <t>금액</t>
  </si>
  <si>
    <t>취득세</t>
  </si>
  <si>
    <t>지방교육세</t>
  </si>
  <si>
    <t>농특세</t>
  </si>
  <si>
    <t>채권</t>
  </si>
  <si>
    <t>제증빙</t>
  </si>
  <si>
    <t>면적㎡</t>
  </si>
  <si>
    <t>단가</t>
  </si>
  <si>
    <t>법무사수수료</t>
  </si>
  <si>
    <t>기본재산</t>
  </si>
  <si>
    <t>보통재산</t>
  </si>
  <si>
    <t>1.지정기부금단체</t>
  </si>
  <si>
    <t>2.출연금액</t>
  </si>
  <si>
    <t>출연재산 등의 사용의무</t>
  </si>
  <si>
    <t> 재산을 출연 받은 때에는 3년 내에 직접 공익목적사업에 사용</t>
  </si>
  <si>
    <t>출연재산 매각금액은 매각일자가 속한 사업연도 종료일로부터 1년 내 30%, 2년 내 60%, 3년 내 90% 이상 공익목적사업에 사용</t>
  </si>
  <si>
    <t> 운용소득</t>
  </si>
  <si>
    <t> 운용소득금액의 70%(성실공익법인 80%) 이상을 1년 이내 직접 공익목적사업사용</t>
  </si>
  <si>
    <t> 출연 받거나 취득시</t>
  </si>
  <si>
    <t>* 상호출자제한기업집단과 특수관계에 있지 아니한 성실공익법인에 대하여 적용( ’17. 7. 1. 이후 출연받거나 취득하는 분부터 적용)</t>
  </si>
  <si>
    <t>** 상호출자제한기업집단과 특수관계에 있지 아니한 자선·장학·사획복지 목적의 성실공익법인으로서 출연받거나 취득하는 주식 등의 의결권을 행사하지 않는 경우 적용( ’18. 1. 1. 이후 출연받거나 취득하는 분부터 적용)</t>
  </si>
  <si>
    <t> 계열기업의 주식보유</t>
  </si>
  <si>
    <t> 총재산가액 중 특수관계 있는 내국법인 주식이 30% (외부감사, 전용계좌개설·사용, 결산서류 등 공시 이행한 경우 50% ) 초과 금지</t>
  </si>
  <si>
    <t> * 초과보유주식의 매 사업연도말 시가의 5% 가산세 부과</t>
  </si>
  <si>
    <t>출연자 등의 이사 등 취임시 지켜야 할 일</t>
  </si>
  <si>
    <t> 출연자 및 그 특수관계인이 이사수의 1/5을 초과하거나임직원으로 취임 금지(관련 경비 전액 가산세 부과)</t>
  </si>
  <si>
    <t> * 미제출, 불분명분에 상당하는 증여세의 1% 가산세 부과</t>
  </si>
  <si>
    <t>** 미 이행시 MAX{(당해연도 수입금액+출연재산가액) × 0.07%, 100만원} 가산세 부과</t>
  </si>
  <si>
    <t>기 타</t>
  </si>
  <si>
    <t>자기내부거래 금지</t>
  </si>
  <si>
    <t>출연받은 재산 등을 특수관게에 있는 자가 정당한 대가를 지급하지 않고 사용하는 경우에는 공익법인이 증여받은 것으로 보아 증여세 과세</t>
  </si>
  <si>
    <t>특정기업 광고 금지</t>
  </si>
  <si>
    <t>특수관계에 있는 내국법인의 이익을 위하여 정당한 대가를 받지 아니하고 광고·홍보를 하는 경우 가산세</t>
  </si>
  <si>
    <t>해산 시 유의사항</t>
  </si>
  <si>
    <t>사업을 종료한 때의 잔여재산을 국가·지방자치단체 또는 유사한 단체에 귀속하지 않는 경우 잔여재산가액 증여세 과세</t>
  </si>
  <si>
    <t>* '20.1.1. 이후 개시하는 사업연도부터는 모든 공익법인이 공시대상</t>
  </si>
  <si>
    <t> * 목적외 사용금액, 미사용금액에 대하여 증여세 부과</t>
  </si>
  <si>
    <t> * 기준금액 미사용시 미사용금액의 10% 가산세 부과</t>
  </si>
  <si>
    <t>구    분</t>
  </si>
  <si>
    <t> 내      용</t>
  </si>
  <si>
    <r>
      <t> 동일한 내국법인의 의결권 있는 주식 등이 발행주식총수등의5%(성실공익법인10%</t>
    </r>
    <r>
      <rPr>
        <vertAlign val="superscript"/>
        <sz val="11"/>
        <color indexed="8"/>
        <rFont val="맑은 고딕"/>
        <family val="3"/>
      </rPr>
      <t>*</t>
    </r>
    <r>
      <rPr>
        <sz val="11"/>
        <color indexed="8"/>
        <rFont val="맑은 고딕"/>
        <family val="3"/>
      </rPr>
      <t>,20%</t>
    </r>
    <r>
      <rPr>
        <vertAlign val="superscript"/>
        <sz val="11"/>
        <color indexed="8"/>
        <rFont val="맑은 고딕"/>
        <family val="3"/>
      </rPr>
      <t>**</t>
    </r>
    <r>
      <rPr>
        <sz val="11"/>
        <color indexed="8"/>
        <rFont val="맑은 고딕"/>
        <family val="3"/>
      </rPr>
      <t>)초과한 경우 증여세 부과</t>
    </r>
  </si>
  <si>
    <r>
      <t> 결산에 관한 서류, 출연재산보고서</t>
    </r>
    <r>
      <rPr>
        <vertAlign val="superscript"/>
        <sz val="11"/>
        <color indexed="8"/>
        <rFont val="맑은 고딕"/>
        <family val="3"/>
      </rPr>
      <t>*</t>
    </r>
    <r>
      <rPr>
        <sz val="11"/>
        <color indexed="8"/>
        <rFont val="맑은 고딕"/>
        <family val="3"/>
      </rPr>
      <t> 및 외부전문가 세무확인</t>
    </r>
    <r>
      <rPr>
        <vertAlign val="superscript"/>
        <sz val="11"/>
        <color indexed="8"/>
        <rFont val="맑은 고딕"/>
        <family val="3"/>
      </rPr>
      <t>**</t>
    </r>
    <r>
      <rPr>
        <sz val="11"/>
        <color indexed="8"/>
        <rFont val="맑은 고딕"/>
        <family val="3"/>
      </rPr>
      <t> 서류를 3개월 이내 관할 세무서장에게 제출</t>
    </r>
  </si>
  <si>
    <t>주요 신고의무</t>
  </si>
  <si>
    <t>상속세및증여세법상 각종 의무</t>
  </si>
  <si>
    <t>사업연도 종료일부터 3개월 이내에 해당 법인의 홈페이지와 국세청의 인터넷 홈페이지에 각각 공개</t>
  </si>
  <si>
    <t>1.출연재산 등에 대한 보고서 제출</t>
  </si>
  <si>
    <t>2.외부전문가의 세무확인서 보고</t>
  </si>
  <si>
    <t>3.결산서류 등 공시</t>
  </si>
  <si>
    <t>4.기부금 모금액 및 활용실적 공개</t>
  </si>
  <si>
    <t>재산을 출연받은 공익법인은 사업연도 종료일부터 3개월 이내에 신고</t>
  </si>
  <si>
    <t>자산총액이 5억원 이상이거나 수입금액과 출연받은 재산가액의 합계액이 3억원 이상인 공익법인은 2명 이상의 외부전문가로부터 세무확인을 받아 사업연도 종료일부터 3개월 이내에 제출</t>
  </si>
  <si>
    <r>
      <t>자산총액이 5억원 이상이거나 수입금액과 출연받은 재산가액의 합계액이 3억원 이상인 공익법인</t>
    </r>
    <r>
      <rPr>
        <vertAlign val="superscript"/>
        <sz val="11"/>
        <color indexed="8"/>
        <rFont val="맑은 고딕"/>
        <family val="3"/>
      </rPr>
      <t>*</t>
    </r>
    <r>
      <rPr>
        <sz val="11"/>
        <color indexed="8"/>
        <rFont val="맑은 고딕"/>
        <family val="3"/>
      </rPr>
      <t>은 사업연도 종료일부터 4개월 이내에 홈택스에 게시하는 방법으로 공시</t>
    </r>
  </si>
  <si>
    <t>홍일식</t>
  </si>
  <si>
    <t>3.기부금 및 출연금</t>
  </si>
  <si>
    <t>4월</t>
  </si>
  <si>
    <t>8월</t>
  </si>
  <si>
    <t>홍혜정</t>
  </si>
  <si>
    <t>홍성걸</t>
  </si>
  <si>
    <t>홍성구</t>
  </si>
  <si>
    <t>수익사업</t>
  </si>
  <si>
    <t>수익사업</t>
  </si>
  <si>
    <t>목적사업</t>
  </si>
  <si>
    <t>목적사업</t>
  </si>
  <si>
    <t>통합</t>
  </si>
  <si>
    <t>통합</t>
  </si>
  <si>
    <t>계</t>
  </si>
  <si>
    <t>1.법인세</t>
  </si>
  <si>
    <t>구분</t>
  </si>
  <si>
    <t>2019년</t>
  </si>
  <si>
    <t>당기순이익</t>
  </si>
  <si>
    <t>익금산입</t>
  </si>
  <si>
    <t>손금산입</t>
  </si>
  <si>
    <t>차가감소득</t>
  </si>
  <si>
    <t>기부금손금불산입</t>
  </si>
  <si>
    <t>기부금이월손금산입</t>
  </si>
  <si>
    <t>각사업연도소득금액</t>
  </si>
  <si>
    <t>이월결손금</t>
  </si>
  <si>
    <t>공제율(80%,100%)</t>
  </si>
  <si>
    <t>전기 이월결손금</t>
  </si>
  <si>
    <t>비과세소득</t>
  </si>
  <si>
    <t>소득공제</t>
  </si>
  <si>
    <t>과세표준</t>
  </si>
  <si>
    <t>세율</t>
  </si>
  <si>
    <t>산출세액</t>
  </si>
  <si>
    <t>가산세</t>
  </si>
  <si>
    <t>기납부세액</t>
  </si>
  <si>
    <t>차가감납부할세액</t>
  </si>
  <si>
    <t>2.지방소득세</t>
  </si>
  <si>
    <t>산출세액</t>
  </si>
  <si>
    <t>공제세액</t>
  </si>
  <si>
    <t>납부할세액</t>
  </si>
  <si>
    <t>3.세무상 유보소득</t>
  </si>
  <si>
    <t>구분</t>
  </si>
  <si>
    <t>증가</t>
  </si>
  <si>
    <t>2019년</t>
  </si>
  <si>
    <r>
      <rPr>
        <sz val="11"/>
        <color indexed="8"/>
        <rFont val="맑은 고딕"/>
        <family val="3"/>
      </rPr>
      <t>가감계</t>
    </r>
  </si>
  <si>
    <r>
      <rPr>
        <sz val="11"/>
        <color indexed="8"/>
        <rFont val="맑은 고딕"/>
        <family val="3"/>
      </rPr>
      <t>중간예납</t>
    </r>
  </si>
  <si>
    <r>
      <rPr>
        <sz val="11"/>
        <color indexed="8"/>
        <rFont val="맑은 고딕"/>
        <family val="3"/>
      </rPr>
      <t>원천납부</t>
    </r>
  </si>
  <si>
    <t> 출연자산 매각금액</t>
  </si>
  <si>
    <t>주식취득 · 보유</t>
  </si>
  <si>
    <t>보고서 등 제출 의무</t>
  </si>
  <si>
    <t>출연재산 사용의무</t>
  </si>
  <si>
    <t>⑧기부금단체 지정일</t>
  </si>
  <si>
    <t>⑨소재지</t>
  </si>
  <si>
    <t>⑪수입</t>
  </si>
  <si>
    <t>⑫지출</t>
  </si>
  <si>
    <t>⑬잔액</t>
  </si>
  <si>
    <t>월별</t>
  </si>
  <si>
    <t>[별지 제63호의7 서식]   &lt;2019. 3. 20. 개정&gt;</t>
  </si>
  <si>
    <t>연간 기부금 모금액 및 활용실적 명세서</t>
  </si>
  <si>
    <t>(앞 쪽)</t>
  </si>
  <si>
    <t xml:space="preserve"> 1. 기본사항</t>
  </si>
  <si>
    <t>①법인명</t>
  </si>
  <si>
    <t>②사업자등록번호(고유번호)</t>
  </si>
  <si>
    <t>③대표자 성명</t>
  </si>
  <si>
    <t>④기부단체 구분</t>
  </si>
  <si>
    <t>⑤전자우편주소</t>
  </si>
  <si>
    <t>⑥사업연도</t>
  </si>
  <si>
    <t>~</t>
  </si>
  <si>
    <t>⑦전화번호</t>
  </si>
  <si>
    <t xml:space="preserve"> 2. 기부금의 수입ㆍ지출 명세</t>
  </si>
  <si>
    <t>(단위 : 천원)</t>
  </si>
  <si>
    <t>⑩월별</t>
  </si>
  <si>
    <t>수입</t>
  </si>
  <si>
    <t>지출</t>
  </si>
  <si>
    <t>잔액</t>
  </si>
  <si>
    <t>전기이월</t>
  </si>
  <si>
    <t>-</t>
  </si>
  <si>
    <t>8월</t>
  </si>
  <si>
    <t>1월</t>
  </si>
  <si>
    <t>9월</t>
  </si>
  <si>
    <t>2월</t>
  </si>
  <si>
    <t>10월</t>
  </si>
  <si>
    <t>3월</t>
  </si>
  <si>
    <t>11월</t>
  </si>
  <si>
    <t>4월</t>
  </si>
  <si>
    <t>12월</t>
  </si>
  <si>
    <t>5월</t>
  </si>
  <si>
    <t>합계</t>
  </si>
  <si>
    <t>6월</t>
  </si>
  <si>
    <t>차기이월</t>
  </si>
  <si>
    <t>7월</t>
  </si>
  <si>
    <t xml:space="preserve"> 3. 기부금 지출 명세서(국내사업)</t>
  </si>
  <si>
    <t>⑭지출월</t>
  </si>
  <si>
    <t>⑮지급목적</t>
  </si>
  <si>
    <t>(16)지급 건수</t>
  </si>
  <si>
    <t>(17)대표 지급처명
(단체명/개인)</t>
  </si>
  <si>
    <t>(18)금액</t>
  </si>
  <si>
    <t>(19)연도별</t>
  </si>
  <si>
    <t>(20)지급목적</t>
  </si>
  <si>
    <t>(21)수혜인원</t>
  </si>
  <si>
    <t>(22)대표 지급처명
(단체명/개인)</t>
  </si>
  <si>
    <t>(23)금액</t>
  </si>
  <si>
    <t xml:space="preserve"> 4. 기부금 지출 명세서(국외사업)</t>
  </si>
  <si>
    <t>(24)지출월</t>
  </si>
  <si>
    <t>(25)국가명</t>
  </si>
  <si>
    <t>(26)지급목적</t>
  </si>
  <si>
    <t>(27)지급 건수</t>
  </si>
  <si>
    <t>(28)대표 지급처명
(단체명/개인)</t>
  </si>
  <si>
    <t>(29)금액</t>
  </si>
  <si>
    <t>(30)연도별</t>
  </si>
  <si>
    <t>(31)국가명</t>
  </si>
  <si>
    <t>(32)지급목적</t>
  </si>
  <si>
    <t>(33)수혜인원</t>
  </si>
  <si>
    <t>(34)대표 지급처명
(단체명/개인)</t>
  </si>
  <si>
    <t>(35)금액</t>
  </si>
  <si>
    <t>「법인세법 시행령」 제38조제8항 또는 제39조제5항에 따라 연간 기부금 모금액 및 활용실적을 공개합니다.</t>
  </si>
  <si>
    <t>년     월      일</t>
  </si>
  <si>
    <t xml:space="preserve">제출인 :  </t>
  </si>
  <si>
    <t>(단체의 직인)  [인]</t>
  </si>
  <si>
    <t>고유목적사업비</t>
  </si>
  <si>
    <t>고유목적사업비</t>
  </si>
  <si>
    <t>4월</t>
  </si>
  <si>
    <t>8월</t>
  </si>
  <si>
    <t>9월</t>
  </si>
  <si>
    <t>10월</t>
  </si>
  <si>
    <t>11월</t>
  </si>
  <si>
    <t>12월</t>
  </si>
  <si>
    <t>851-82-00272</t>
  </si>
  <si>
    <t>문화영토연구원</t>
  </si>
  <si>
    <t>02473</t>
  </si>
  <si>
    <t>02-741-1690 /010-7277-3592</t>
  </si>
  <si>
    <t>서울시 동대문구 제기로 5길 31, 2층(제기동)</t>
  </si>
  <si>
    <t>법정</t>
  </si>
  <si>
    <t>홍 일 식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</si>
</sst>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,##0"/>
    <numFmt numFmtId="177" formatCode="##,###"/>
    <numFmt numFmtId="178" formatCode="#,##0_);\(#,##0\)"/>
    <numFmt numFmtId="179" formatCode="#,##0;[Red]\-#,##0;\-"/>
    <numFmt numFmtId="180" formatCode="#,##0.000"/>
    <numFmt numFmtId="181" formatCode="0.000%"/>
    <numFmt numFmtId="182" formatCode="0.00_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,###,###"/>
    <numFmt numFmtId="189" formatCode="###,###,##0"/>
    <numFmt numFmtId="190" formatCode="_(* #,##0.0_);_(* \(#,##0.0\);_(* &quot;-&quot;_);_(@_)"/>
    <numFmt numFmtId="191" formatCode="_(* #,##0.00_);_(* \(#,##0.00\);_(* &quot;-&quot;_);_(@_)"/>
    <numFmt numFmtId="192" formatCode="#,##0_ "/>
    <numFmt numFmtId="193" formatCode="####&quot;년&quot;\ ##&quot;월&quot;"/>
    <numFmt numFmtId="194" formatCode="####\-##"/>
    <numFmt numFmtId="195" formatCode="####\-##\-##"/>
    <numFmt numFmtId="196" formatCode="####&quot;년&quot;##&quot;월&quot;"/>
    <numFmt numFmtId="197" formatCode="####&quot;년&quot;\ \ ##&quot;월&quot;\ \ ##&quot;일&quot;"/>
    <numFmt numFmtId="198" formatCode="[$-412]yyyy&quot;년&quot;\ m&quot;월&quot;\ d&quot;일&quot;\ dddd"/>
    <numFmt numFmtId="199" formatCode="[$-412]AM/PM\ h:mm:ss"/>
    <numFmt numFmtId="200" formatCode="mm&quot;월&quot;\ dd&quot;일&quot;"/>
  </numFmts>
  <fonts count="67">
    <font>
      <sz val="10"/>
      <name val="Arial"/>
      <family val="2"/>
    </font>
    <font>
      <sz val="8"/>
      <name val="돋움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9"/>
      <name val="Tahoma"/>
      <family val="2"/>
    </font>
    <font>
      <sz val="9"/>
      <name val="돋움"/>
      <family val="3"/>
    </font>
    <font>
      <u val="single"/>
      <sz val="9"/>
      <name val="돋움"/>
      <family val="3"/>
    </font>
    <font>
      <u val="single"/>
      <sz val="9"/>
      <name val="Tahoma"/>
      <family val="2"/>
    </font>
    <font>
      <sz val="11"/>
      <color indexed="8"/>
      <name val="맑은 고딕"/>
      <family val="3"/>
    </font>
    <font>
      <vertAlign val="superscript"/>
      <sz val="11"/>
      <color indexed="8"/>
      <name val="맑은 고딕"/>
      <family val="3"/>
    </font>
    <font>
      <sz val="10"/>
      <name val="돋움"/>
      <family val="3"/>
    </font>
    <font>
      <b/>
      <sz val="14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u val="single"/>
      <sz val="10"/>
      <color indexed="20"/>
      <name val="Arial"/>
      <family val="2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1"/>
      <color indexed="8"/>
      <name val="돋움"/>
      <family val="3"/>
    </font>
    <font>
      <u val="single"/>
      <sz val="10"/>
      <color indexed="12"/>
      <name val="Arial"/>
      <family val="2"/>
    </font>
    <font>
      <sz val="11"/>
      <color indexed="8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10"/>
      <color indexed="8"/>
      <name val="Cambria"/>
      <family val="3"/>
    </font>
    <font>
      <b/>
      <sz val="11"/>
      <color indexed="8"/>
      <name val="Cambria"/>
      <family val="3"/>
    </font>
    <font>
      <b/>
      <sz val="11"/>
      <name val="Cambria"/>
      <family val="3"/>
    </font>
    <font>
      <b/>
      <sz val="14"/>
      <name val="Cambri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u val="single"/>
      <sz val="10"/>
      <color theme="10"/>
      <name val="Arial"/>
      <family val="2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1"/>
      <color theme="1"/>
      <name val="돋움"/>
      <family val="3"/>
    </font>
    <font>
      <sz val="11"/>
      <color theme="1"/>
      <name val="Cambria"/>
      <family val="3"/>
    </font>
    <font>
      <b/>
      <sz val="11"/>
      <color theme="1"/>
      <name val="Cambria"/>
      <family val="3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0" borderId="0">
      <alignment/>
      <protection/>
    </xf>
    <xf numFmtId="0" fontId="6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86">
    <xf numFmtId="0" fontId="0" fillId="0" borderId="0" xfId="0" applyAlignment="1">
      <alignment/>
    </xf>
    <xf numFmtId="3" fontId="64" fillId="0" borderId="0" xfId="0" applyNumberFormat="1" applyFont="1" applyAlignment="1">
      <alignment vertical="center"/>
    </xf>
    <xf numFmtId="3" fontId="64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Border="1" applyAlignment="1">
      <alignment vertical="center"/>
    </xf>
    <xf numFmtId="3" fontId="64" fillId="0" borderId="10" xfId="43" applyNumberFormat="1" applyFont="1" applyBorder="1" applyAlignment="1">
      <alignment vertical="center"/>
    </xf>
    <xf numFmtId="3" fontId="64" fillId="0" borderId="0" xfId="43" applyNumberFormat="1" applyFont="1" applyAlignment="1">
      <alignment vertical="center"/>
    </xf>
    <xf numFmtId="3" fontId="64" fillId="0" borderId="10" xfId="0" applyNumberFormat="1" applyFont="1" applyBorder="1" applyAlignment="1">
      <alignment horizontal="center" vertical="center"/>
    </xf>
    <xf numFmtId="3" fontId="64" fillId="33" borderId="10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173" fontId="64" fillId="0" borderId="10" xfId="43" applyFont="1" applyFill="1" applyBorder="1" applyAlignment="1">
      <alignment vertical="center"/>
    </xf>
    <xf numFmtId="173" fontId="64" fillId="0" borderId="10" xfId="0" applyNumberFormat="1" applyFont="1" applyFill="1" applyBorder="1" applyAlignment="1">
      <alignment vertical="center"/>
    </xf>
    <xf numFmtId="173" fontId="64" fillId="0" borderId="0" xfId="43" applyFont="1" applyFill="1" applyBorder="1" applyAlignment="1">
      <alignment vertical="center"/>
    </xf>
    <xf numFmtId="173" fontId="64" fillId="0" borderId="0" xfId="0" applyNumberFormat="1" applyFont="1" applyFill="1" applyBorder="1" applyAlignment="1">
      <alignment vertical="center"/>
    </xf>
    <xf numFmtId="0" fontId="64" fillId="0" borderId="10" xfId="0" applyNumberFormat="1" applyFont="1" applyBorder="1" applyAlignment="1">
      <alignment horizontal="center" vertical="center"/>
    </xf>
    <xf numFmtId="3" fontId="64" fillId="0" borderId="10" xfId="0" applyNumberFormat="1" applyFont="1" applyFill="1" applyBorder="1" applyAlignment="1">
      <alignment vertical="center"/>
    </xf>
    <xf numFmtId="0" fontId="64" fillId="0" borderId="0" xfId="0" applyNumberFormat="1" applyFont="1" applyAlignment="1">
      <alignment horizontal="left" vertical="center"/>
    </xf>
    <xf numFmtId="3" fontId="64" fillId="0" borderId="0" xfId="0" applyNumberFormat="1" applyFont="1" applyFill="1" applyAlignment="1">
      <alignment vertical="center"/>
    </xf>
    <xf numFmtId="3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indent="1"/>
    </xf>
    <xf numFmtId="3" fontId="64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3" fontId="38" fillId="0" borderId="10" xfId="43" applyFont="1" applyBorder="1" applyAlignment="1">
      <alignment vertical="center"/>
    </xf>
    <xf numFmtId="173" fontId="38" fillId="0" borderId="0" xfId="43" applyFont="1" applyAlignment="1">
      <alignment vertical="center"/>
    </xf>
    <xf numFmtId="3" fontId="38" fillId="0" borderId="10" xfId="43" applyNumberFormat="1" applyFont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3" fontId="38" fillId="33" borderId="10" xfId="43" applyNumberFormat="1" applyFont="1" applyFill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3" fontId="38" fillId="0" borderId="10" xfId="64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Alignment="1">
      <alignment/>
    </xf>
    <xf numFmtId="0" fontId="64" fillId="34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35" borderId="0" xfId="0" applyFont="1" applyFill="1" applyAlignment="1">
      <alignment vertical="center"/>
    </xf>
    <xf numFmtId="0" fontId="40" fillId="35" borderId="11" xfId="0" applyFont="1" applyFill="1" applyBorder="1" applyAlignment="1">
      <alignment vertical="center"/>
    </xf>
    <xf numFmtId="176" fontId="40" fillId="35" borderId="12" xfId="0" applyNumberFormat="1" applyFont="1" applyFill="1" applyBorder="1" applyAlignment="1">
      <alignment vertical="center"/>
    </xf>
    <xf numFmtId="0" fontId="40" fillId="35" borderId="11" xfId="0" applyFont="1" applyFill="1" applyBorder="1" applyAlignment="1">
      <alignment horizontal="left" vertical="center" indent="1"/>
    </xf>
    <xf numFmtId="176" fontId="40" fillId="35" borderId="13" xfId="0" applyNumberFormat="1" applyFont="1" applyFill="1" applyBorder="1" applyAlignment="1">
      <alignment vertical="center"/>
    </xf>
    <xf numFmtId="176" fontId="39" fillId="0" borderId="0" xfId="0" applyNumberFormat="1" applyFont="1" applyAlignment="1">
      <alignment/>
    </xf>
    <xf numFmtId="173" fontId="38" fillId="0" borderId="0" xfId="0" applyNumberFormat="1" applyFont="1" applyAlignment="1">
      <alignment vertical="center"/>
    </xf>
    <xf numFmtId="0" fontId="65" fillId="27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3" fontId="38" fillId="0" borderId="0" xfId="67" applyNumberFormat="1" applyFont="1" applyAlignment="1">
      <alignment shrinkToFit="1"/>
      <protection/>
    </xf>
    <xf numFmtId="3" fontId="38" fillId="0" borderId="0" xfId="67" applyNumberFormat="1" applyFont="1" applyAlignment="1">
      <alignment vertical="center" shrinkToFit="1"/>
      <protection/>
    </xf>
    <xf numFmtId="3" fontId="38" fillId="0" borderId="0" xfId="64" applyNumberFormat="1" applyFont="1" applyAlignment="1">
      <alignment vertical="center" shrinkToFit="1"/>
    </xf>
    <xf numFmtId="3" fontId="38" fillId="36" borderId="14" xfId="67" applyNumberFormat="1" applyFont="1" applyFill="1" applyBorder="1" applyAlignment="1">
      <alignment horizontal="center" shrinkToFit="1"/>
      <protection/>
    </xf>
    <xf numFmtId="3" fontId="38" fillId="0" borderId="14" xfId="67" applyNumberFormat="1" applyFont="1" applyBorder="1" applyAlignment="1">
      <alignment shrinkToFit="1"/>
      <protection/>
    </xf>
    <xf numFmtId="3" fontId="38" fillId="0" borderId="14" xfId="64" applyNumberFormat="1" applyFont="1" applyBorder="1" applyAlignment="1">
      <alignment horizontal="center" vertical="center" shrinkToFit="1"/>
    </xf>
    <xf numFmtId="3" fontId="38" fillId="0" borderId="14" xfId="64" applyNumberFormat="1" applyFont="1" applyBorder="1" applyAlignment="1">
      <alignment vertical="center" shrinkToFit="1"/>
    </xf>
    <xf numFmtId="3" fontId="38" fillId="0" borderId="14" xfId="67" applyNumberFormat="1" applyFont="1" applyBorder="1" applyAlignment="1">
      <alignment vertical="center" shrinkToFit="1"/>
      <protection/>
    </xf>
    <xf numFmtId="3" fontId="38" fillId="0" borderId="14" xfId="67" applyNumberFormat="1" applyFont="1" applyBorder="1" applyAlignment="1">
      <alignment horizontal="left" indent="1" shrinkToFit="1"/>
      <protection/>
    </xf>
    <xf numFmtId="3" fontId="38" fillId="0" borderId="14" xfId="67" applyNumberFormat="1" applyFont="1" applyBorder="1" applyAlignment="1">
      <alignment horizontal="left" vertical="center" indent="1" shrinkToFit="1"/>
      <protection/>
    </xf>
    <xf numFmtId="3" fontId="38" fillId="0" borderId="14" xfId="67" applyNumberFormat="1" applyFont="1" applyBorder="1" applyAlignment="1">
      <alignment horizontal="left" shrinkToFit="1"/>
      <protection/>
    </xf>
    <xf numFmtId="3" fontId="38" fillId="0" borderId="14" xfId="68" applyNumberFormat="1" applyFont="1" applyBorder="1" applyAlignment="1" applyProtection="1">
      <alignment horizontal="left" vertical="center" indent="1" shrinkToFit="1"/>
      <protection locked="0"/>
    </xf>
    <xf numFmtId="9" fontId="38" fillId="0" borderId="14" xfId="63" applyFont="1" applyBorder="1" applyAlignment="1" applyProtection="1">
      <alignment vertical="center" shrinkToFit="1"/>
      <protection locked="0"/>
    </xf>
    <xf numFmtId="3" fontId="38" fillId="0" borderId="14" xfId="63" applyNumberFormat="1" applyFont="1" applyBorder="1" applyAlignment="1" applyProtection="1">
      <alignment vertical="center" shrinkToFit="1"/>
      <protection locked="0"/>
    </xf>
    <xf numFmtId="3" fontId="38" fillId="0" borderId="14" xfId="68" applyNumberFormat="1" applyFont="1" applyBorder="1" applyAlignment="1" applyProtection="1">
      <alignment vertical="center" shrinkToFit="1"/>
      <protection locked="0"/>
    </xf>
    <xf numFmtId="3" fontId="38" fillId="0" borderId="14" xfId="64" applyNumberFormat="1" applyFont="1" applyBorder="1" applyAlignment="1" applyProtection="1">
      <alignment vertical="center" shrinkToFit="1"/>
      <protection locked="0"/>
    </xf>
    <xf numFmtId="3" fontId="38" fillId="0" borderId="14" xfId="68" applyNumberFormat="1" applyFont="1" applyBorder="1" applyAlignment="1">
      <alignment vertical="center" shrinkToFit="1"/>
      <protection/>
    </xf>
    <xf numFmtId="3" fontId="38" fillId="0" borderId="14" xfId="63" applyNumberFormat="1" applyFont="1" applyBorder="1" applyAlignment="1">
      <alignment horizontal="right" vertical="center" shrinkToFit="1"/>
    </xf>
    <xf numFmtId="3" fontId="38" fillId="0" borderId="14" xfId="0" applyNumberFormat="1" applyFont="1" applyBorder="1" applyAlignment="1">
      <alignment horizontal="right" vertical="center" shrinkToFit="1"/>
    </xf>
    <xf numFmtId="3" fontId="38" fillId="0" borderId="14" xfId="69" applyNumberFormat="1" applyFont="1" applyBorder="1" applyAlignment="1">
      <alignment vertical="center" shrinkToFit="1"/>
      <protection/>
    </xf>
    <xf numFmtId="3" fontId="38" fillId="0" borderId="14" xfId="69" applyNumberFormat="1" applyFont="1" applyBorder="1" applyAlignment="1">
      <alignment horizontal="left" vertical="center" indent="1" shrinkToFit="1"/>
      <protection/>
    </xf>
    <xf numFmtId="3" fontId="64" fillId="0" borderId="14" xfId="68" applyNumberFormat="1" applyFont="1" applyBorder="1" applyAlignment="1">
      <alignment vertical="center" shrinkToFit="1"/>
      <protection/>
    </xf>
    <xf numFmtId="3" fontId="64" fillId="0" borderId="14" xfId="68" applyNumberFormat="1" applyFont="1" applyBorder="1" applyAlignment="1">
      <alignment horizontal="left" vertical="center" indent="1" shrinkToFit="1"/>
      <protection/>
    </xf>
    <xf numFmtId="3" fontId="64" fillId="0" borderId="14" xfId="68" applyNumberFormat="1" applyFont="1" applyBorder="1" applyAlignment="1" applyProtection="1">
      <alignment horizontal="left" vertical="center" indent="1" shrinkToFit="1"/>
      <protection locked="0"/>
    </xf>
    <xf numFmtId="3" fontId="38" fillId="33" borderId="14" xfId="64" applyNumberFormat="1" applyFont="1" applyFill="1" applyBorder="1" applyAlignment="1">
      <alignment vertical="center" shrinkToFit="1"/>
    </xf>
    <xf numFmtId="3" fontId="38" fillId="0" borderId="0" xfId="69" applyNumberFormat="1" applyFont="1" applyAlignment="1">
      <alignment vertical="center" shrinkToFit="1"/>
      <protection/>
    </xf>
    <xf numFmtId="3" fontId="42" fillId="0" borderId="0" xfId="69" applyNumberFormat="1" applyFont="1" applyAlignment="1">
      <alignment vertical="center" shrinkToFit="1"/>
      <protection/>
    </xf>
    <xf numFmtId="3" fontId="42" fillId="0" borderId="0" xfId="67" applyNumberFormat="1" applyFont="1" applyAlignment="1">
      <alignment shrinkToFit="1"/>
      <protection/>
    </xf>
    <xf numFmtId="3" fontId="38" fillId="36" borderId="14" xfId="67" applyNumberFormat="1" applyFont="1" applyFill="1" applyBorder="1" applyAlignment="1">
      <alignment horizontal="center" vertical="center" shrinkToFit="1"/>
      <protection/>
    </xf>
    <xf numFmtId="3" fontId="38" fillId="36" borderId="14" xfId="64" applyNumberFormat="1" applyFont="1" applyFill="1" applyBorder="1" applyAlignment="1">
      <alignment horizontal="center" vertical="center" shrinkToFit="1"/>
    </xf>
    <xf numFmtId="179" fontId="64" fillId="0" borderId="10" xfId="65" applyNumberFormat="1" applyFont="1" applyBorder="1" applyAlignment="1">
      <alignment vertical="center"/>
      <protection/>
    </xf>
    <xf numFmtId="3" fontId="64" fillId="0" borderId="10" xfId="65" applyNumberFormat="1" applyFont="1" applyBorder="1" applyAlignment="1">
      <alignment vertical="center"/>
      <protection/>
    </xf>
    <xf numFmtId="3" fontId="39" fillId="0" borderId="0" xfId="65" applyNumberFormat="1" applyFont="1" applyAlignment="1">
      <alignment vertical="center" wrapText="1"/>
      <protection/>
    </xf>
    <xf numFmtId="3" fontId="39" fillId="0" borderId="0" xfId="65" applyNumberFormat="1" applyFont="1" applyAlignment="1">
      <alignment vertical="center"/>
      <protection/>
    </xf>
    <xf numFmtId="3" fontId="39" fillId="0" borderId="0" xfId="65" applyNumberFormat="1" applyFont="1" applyAlignment="1">
      <alignment horizontal="center" vertical="center"/>
      <protection/>
    </xf>
    <xf numFmtId="3" fontId="39" fillId="0" borderId="0" xfId="43" applyNumberFormat="1" applyFont="1" applyAlignment="1">
      <alignment horizontal="center" vertical="center"/>
    </xf>
    <xf numFmtId="3" fontId="64" fillId="0" borderId="0" xfId="65" applyNumberFormat="1" applyFont="1" applyAlignment="1">
      <alignment vertical="center"/>
      <protection/>
    </xf>
    <xf numFmtId="3" fontId="39" fillId="0" borderId="14" xfId="65" applyNumberFormat="1" applyFont="1" applyBorder="1" applyAlignment="1">
      <alignment horizontal="center" vertical="center"/>
      <protection/>
    </xf>
    <xf numFmtId="3" fontId="39" fillId="0" borderId="14" xfId="43" applyNumberFormat="1" applyFont="1" applyBorder="1" applyAlignment="1">
      <alignment horizontal="center" vertical="center"/>
    </xf>
    <xf numFmtId="3" fontId="39" fillId="0" borderId="14" xfId="65" applyNumberFormat="1" applyFont="1" applyBorder="1" applyAlignment="1">
      <alignment vertical="center"/>
      <protection/>
    </xf>
    <xf numFmtId="180" fontId="39" fillId="33" borderId="14" xfId="65" applyNumberFormat="1" applyFont="1" applyFill="1" applyBorder="1" applyAlignment="1">
      <alignment vertical="center"/>
      <protection/>
    </xf>
    <xf numFmtId="181" fontId="39" fillId="0" borderId="14" xfId="59" applyNumberFormat="1" applyFont="1" applyBorder="1" applyAlignment="1">
      <alignment vertical="center"/>
    </xf>
    <xf numFmtId="3" fontId="39" fillId="0" borderId="14" xfId="43" applyNumberFormat="1" applyFont="1" applyBorder="1" applyAlignment="1">
      <alignment vertical="center"/>
    </xf>
    <xf numFmtId="180" fontId="39" fillId="0" borderId="14" xfId="65" applyNumberFormat="1" applyFont="1" applyBorder="1" applyAlignment="1">
      <alignment vertical="center"/>
      <protection/>
    </xf>
    <xf numFmtId="3" fontId="39" fillId="37" borderId="14" xfId="43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vertical="center"/>
    </xf>
    <xf numFmtId="14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49" fontId="13" fillId="0" borderId="19" xfId="0" applyNumberFormat="1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0" fontId="40" fillId="39" borderId="21" xfId="0" applyFont="1" applyFill="1" applyBorder="1" applyAlignment="1">
      <alignment horizontal="center" vertical="center"/>
    </xf>
    <xf numFmtId="176" fontId="40" fillId="35" borderId="22" xfId="0" applyNumberFormat="1" applyFont="1" applyFill="1" applyBorder="1" applyAlignment="1">
      <alignment vertical="center"/>
    </xf>
    <xf numFmtId="0" fontId="40" fillId="35" borderId="23" xfId="0" applyFont="1" applyFill="1" applyBorder="1" applyAlignment="1">
      <alignment vertical="center"/>
    </xf>
    <xf numFmtId="176" fontId="40" fillId="35" borderId="24" xfId="0" applyNumberFormat="1" applyFont="1" applyFill="1" applyBorder="1" applyAlignment="1">
      <alignment vertical="center"/>
    </xf>
    <xf numFmtId="176" fontId="40" fillId="35" borderId="25" xfId="0" applyNumberFormat="1" applyFont="1" applyFill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65" fillId="27" borderId="10" xfId="0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vertical="center" wrapText="1"/>
    </xf>
    <xf numFmtId="0" fontId="64" fillId="0" borderId="20" xfId="0" applyFont="1" applyBorder="1" applyAlignment="1">
      <alignment vertical="center" wrapText="1"/>
    </xf>
    <xf numFmtId="0" fontId="40" fillId="35" borderId="0" xfId="0" applyFont="1" applyFill="1" applyAlignment="1">
      <alignment horizontal="center" vertical="center"/>
    </xf>
    <xf numFmtId="0" fontId="40" fillId="35" borderId="0" xfId="0" applyFont="1" applyFill="1" applyAlignment="1">
      <alignment horizontal="center" vertical="top"/>
    </xf>
    <xf numFmtId="0" fontId="40" fillId="39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left" wrapText="1"/>
    </xf>
    <xf numFmtId="3" fontId="13" fillId="0" borderId="17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right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34" xfId="0" applyNumberFormat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38" borderId="17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49" fontId="13" fillId="38" borderId="17" xfId="0" applyNumberFormat="1" applyFont="1" applyFill="1" applyBorder="1" applyAlignment="1">
      <alignment horizontal="center" vertical="center" wrapText="1"/>
    </xf>
    <xf numFmtId="49" fontId="13" fillId="38" borderId="16" xfId="0" applyNumberFormat="1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/>
    </xf>
    <xf numFmtId="3" fontId="38" fillId="36" borderId="14" xfId="64" applyNumberFormat="1" applyFont="1" applyFill="1" applyBorder="1" applyAlignment="1">
      <alignment horizontal="center" vertical="center" shrinkToFit="1"/>
    </xf>
    <xf numFmtId="3" fontId="43" fillId="0" borderId="0" xfId="67" applyNumberFormat="1" applyFont="1" applyBorder="1" applyAlignment="1">
      <alignment horizontal="center" shrinkToFit="1"/>
      <protection/>
    </xf>
    <xf numFmtId="0" fontId="38" fillId="0" borderId="26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3" fontId="64" fillId="0" borderId="10" xfId="0" applyNumberFormat="1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백분율 2" xfId="63"/>
    <cellStyle name="쉼표 [0] 2 2 2" xfId="64"/>
    <cellStyle name="표준 2" xfId="65"/>
    <cellStyle name="표준 3" xfId="66"/>
    <cellStyle name="표준 3 2" xfId="67"/>
    <cellStyle name="표준_신대치지국결의서1" xfId="68"/>
    <cellStyle name="표준_신대치지국결의서1_소득세실무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4060;&#51064;\&#49464;&#47924;\&#49464;&#50529;&#44228;&#49328;\&#48277;&#51064;&#49464;&#47560;&#48277;&#49324;\2019%20&#49464;&#47924;&#51312;&#51221;&#47560;&#48277;&#49324;\&#48277;&#51064;&#49464;&#47560;&#48277;&#49324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기초코드"/>
      <sheetName val="기본사항"/>
      <sheetName val="58의2"/>
      <sheetName val="58의3"/>
      <sheetName val="58의4"/>
      <sheetName val="58의5"/>
      <sheetName val="58의6"/>
      <sheetName val="58의7"/>
      <sheetName val="59"/>
      <sheetName val="59부표"/>
      <sheetName val="61"/>
      <sheetName val="62"/>
      <sheetName val="63"/>
      <sheetName val="63의2"/>
      <sheetName val="63의3"/>
      <sheetName val="63의4"/>
      <sheetName val="63의5"/>
      <sheetName val="63의6"/>
      <sheetName val="63의7"/>
      <sheetName val="63의8"/>
      <sheetName val="63의9"/>
      <sheetName val="63의10"/>
      <sheetName val="63의11"/>
      <sheetName val="63의12"/>
      <sheetName val="64"/>
      <sheetName val="64의2"/>
      <sheetName val="64의3"/>
      <sheetName val="64의4"/>
      <sheetName val="Sheet1"/>
    </sheetNames>
    <sheetDataSet>
      <sheetData sheetId="1">
        <row r="14">
          <cell r="F14">
            <v>43466</v>
          </cell>
        </row>
        <row r="15">
          <cell r="F15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0"/>
  <sheetViews>
    <sheetView zoomScalePageLayoutView="0" workbookViewId="0" topLeftCell="A1">
      <selection activeCell="G18" sqref="G18"/>
    </sheetView>
  </sheetViews>
  <sheetFormatPr defaultColWidth="8.7109375" defaultRowHeight="12.75"/>
  <cols>
    <col min="1" max="1" width="8.7109375" style="35" customWidth="1"/>
    <col min="2" max="2" width="22.28125" style="35" customWidth="1"/>
    <col min="3" max="3" width="12.421875" style="35" bestFit="1" customWidth="1"/>
    <col min="4" max="4" width="86.57421875" style="35" bestFit="1" customWidth="1"/>
    <col min="5" max="16384" width="8.7109375" style="35" customWidth="1"/>
  </cols>
  <sheetData>
    <row r="3" s="33" customFormat="1" ht="14.25">
      <c r="B3" s="36" t="s">
        <v>204</v>
      </c>
    </row>
    <row r="4" spans="2:4" s="33" customFormat="1" ht="14.25">
      <c r="B4" s="35" t="s">
        <v>207</v>
      </c>
      <c r="D4" s="33" t="s">
        <v>211</v>
      </c>
    </row>
    <row r="5" spans="2:4" s="33" customFormat="1" ht="14.25">
      <c r="B5" s="35" t="s">
        <v>208</v>
      </c>
      <c r="D5" s="33" t="s">
        <v>212</v>
      </c>
    </row>
    <row r="6" spans="2:4" s="33" customFormat="1" ht="16.5">
      <c r="B6" s="35" t="s">
        <v>209</v>
      </c>
      <c r="C6" s="34"/>
      <c r="D6" s="33" t="s">
        <v>213</v>
      </c>
    </row>
    <row r="7" spans="3:4" s="33" customFormat="1" ht="14.25">
      <c r="C7" s="34"/>
      <c r="D7" s="33" t="s">
        <v>197</v>
      </c>
    </row>
    <row r="8" spans="2:4" s="33" customFormat="1" ht="14.25">
      <c r="B8" s="35" t="s">
        <v>210</v>
      </c>
      <c r="C8" s="34"/>
      <c r="D8" s="33" t="s">
        <v>206</v>
      </c>
    </row>
    <row r="9" s="33" customFormat="1" ht="14.25"/>
    <row r="10" s="33" customFormat="1" ht="14.25"/>
    <row r="11" s="33" customFormat="1" ht="14.25"/>
    <row r="12" s="33" customFormat="1" ht="14.25">
      <c r="B12" s="36" t="s">
        <v>205</v>
      </c>
    </row>
    <row r="13" spans="2:4" s="33" customFormat="1" ht="14.25">
      <c r="B13" s="127" t="s">
        <v>200</v>
      </c>
      <c r="C13" s="127"/>
      <c r="D13" s="48" t="s">
        <v>201</v>
      </c>
    </row>
    <row r="14" spans="2:4" s="33" customFormat="1" ht="34.5" customHeight="1">
      <c r="B14" s="126" t="s">
        <v>175</v>
      </c>
      <c r="C14" s="128" t="s">
        <v>263</v>
      </c>
      <c r="D14" s="49" t="s">
        <v>176</v>
      </c>
    </row>
    <row r="15" spans="2:4" s="33" customFormat="1" ht="14.25">
      <c r="B15" s="126"/>
      <c r="C15" s="129"/>
      <c r="D15" s="49" t="s">
        <v>198</v>
      </c>
    </row>
    <row r="16" spans="2:4" s="33" customFormat="1" ht="63" customHeight="1">
      <c r="B16" s="126"/>
      <c r="C16" s="49" t="s">
        <v>260</v>
      </c>
      <c r="D16" s="49" t="s">
        <v>177</v>
      </c>
    </row>
    <row r="17" spans="2:4" s="33" customFormat="1" ht="14.25">
      <c r="B17" s="126"/>
      <c r="C17" s="126" t="s">
        <v>178</v>
      </c>
      <c r="D17" s="49" t="s">
        <v>179</v>
      </c>
    </row>
    <row r="18" spans="2:4" s="33" customFormat="1" ht="14.25">
      <c r="B18" s="126"/>
      <c r="C18" s="126"/>
      <c r="D18" s="49" t="s">
        <v>199</v>
      </c>
    </row>
    <row r="19" spans="2:4" s="33" customFormat="1" ht="33">
      <c r="B19" s="126" t="s">
        <v>261</v>
      </c>
      <c r="C19" s="126" t="s">
        <v>180</v>
      </c>
      <c r="D19" s="49" t="s">
        <v>202</v>
      </c>
    </row>
    <row r="20" spans="2:4" s="33" customFormat="1" ht="28.5">
      <c r="B20" s="126"/>
      <c r="C20" s="126"/>
      <c r="D20" s="49" t="s">
        <v>181</v>
      </c>
    </row>
    <row r="21" spans="2:4" s="33" customFormat="1" ht="42.75">
      <c r="B21" s="126"/>
      <c r="C21" s="126"/>
      <c r="D21" s="49" t="s">
        <v>182</v>
      </c>
    </row>
    <row r="22" spans="2:4" s="33" customFormat="1" ht="28.5">
      <c r="B22" s="126"/>
      <c r="C22" s="126" t="s">
        <v>183</v>
      </c>
      <c r="D22" s="49" t="s">
        <v>184</v>
      </c>
    </row>
    <row r="23" spans="2:4" s="33" customFormat="1" ht="14.25">
      <c r="B23" s="126"/>
      <c r="C23" s="126"/>
      <c r="D23" s="49" t="s">
        <v>185</v>
      </c>
    </row>
    <row r="24" spans="2:4" s="33" customFormat="1" ht="28.5">
      <c r="B24" s="126" t="s">
        <v>186</v>
      </c>
      <c r="C24" s="126"/>
      <c r="D24" s="49" t="s">
        <v>187</v>
      </c>
    </row>
    <row r="25" spans="2:4" s="33" customFormat="1" ht="33">
      <c r="B25" s="126" t="s">
        <v>262</v>
      </c>
      <c r="C25" s="126"/>
      <c r="D25" s="49" t="s">
        <v>203</v>
      </c>
    </row>
    <row r="26" spans="2:4" s="33" customFormat="1" ht="14.25">
      <c r="B26" s="126"/>
      <c r="C26" s="126"/>
      <c r="D26" s="49" t="s">
        <v>188</v>
      </c>
    </row>
    <row r="27" spans="2:4" s="33" customFormat="1" ht="14.25">
      <c r="B27" s="126"/>
      <c r="C27" s="126"/>
      <c r="D27" s="49" t="s">
        <v>189</v>
      </c>
    </row>
    <row r="28" spans="2:4" s="33" customFormat="1" ht="28.5">
      <c r="B28" s="126" t="s">
        <v>190</v>
      </c>
      <c r="C28" s="49" t="s">
        <v>191</v>
      </c>
      <c r="D28" s="49" t="s">
        <v>192</v>
      </c>
    </row>
    <row r="29" spans="2:4" s="33" customFormat="1" ht="28.5">
      <c r="B29" s="126"/>
      <c r="C29" s="49" t="s">
        <v>193</v>
      </c>
      <c r="D29" s="49" t="s">
        <v>194</v>
      </c>
    </row>
    <row r="30" spans="2:4" s="33" customFormat="1" ht="28.5">
      <c r="B30" s="126"/>
      <c r="C30" s="49" t="s">
        <v>195</v>
      </c>
      <c r="D30" s="49" t="s">
        <v>196</v>
      </c>
    </row>
    <row r="31" s="33" customFormat="1" ht="14.25"/>
    <row r="32" s="33" customFormat="1" ht="14.25"/>
    <row r="33" s="33" customFormat="1" ht="14.25"/>
    <row r="34" s="33" customFormat="1" ht="14.25"/>
    <row r="35" s="33" customFormat="1" ht="14.25"/>
    <row r="36" s="33" customFormat="1" ht="14.25"/>
  </sheetData>
  <sheetProtection/>
  <mergeCells count="10">
    <mergeCell ref="B24:C24"/>
    <mergeCell ref="B28:B30"/>
    <mergeCell ref="B19:B23"/>
    <mergeCell ref="B25:C27"/>
    <mergeCell ref="B13:C13"/>
    <mergeCell ref="B14:B18"/>
    <mergeCell ref="C17:C18"/>
    <mergeCell ref="C19:C21"/>
    <mergeCell ref="C22:C23"/>
    <mergeCell ref="C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31">
      <selection activeCell="D21" sqref="D21"/>
    </sheetView>
  </sheetViews>
  <sheetFormatPr defaultColWidth="8.8515625" defaultRowHeight="12.75"/>
  <cols>
    <col min="1" max="1" width="20.8515625" style="39" customWidth="1"/>
    <col min="2" max="8" width="12.7109375" style="39" customWidth="1"/>
    <col min="9" max="9" width="21.8515625" style="39" customWidth="1"/>
    <col min="10" max="15" width="12.7109375" style="39" customWidth="1"/>
    <col min="16" max="16384" width="8.8515625" style="37" customWidth="1"/>
  </cols>
  <sheetData>
    <row r="1" spans="1:15" ht="12.75">
      <c r="A1" s="130" t="s">
        <v>70</v>
      </c>
      <c r="B1" s="130"/>
      <c r="C1" s="130"/>
      <c r="D1" s="130"/>
      <c r="E1" s="130"/>
      <c r="F1" s="130"/>
      <c r="G1" s="130"/>
      <c r="I1" s="131" t="s">
        <v>71</v>
      </c>
      <c r="J1" s="131"/>
      <c r="K1" s="131"/>
      <c r="L1" s="131"/>
      <c r="M1" s="131"/>
      <c r="N1" s="131"/>
      <c r="O1" s="131"/>
    </row>
    <row r="3" spans="3:14" ht="12.75">
      <c r="C3" s="41" t="s">
        <v>72</v>
      </c>
      <c r="E3" s="41"/>
      <c r="G3" s="41"/>
      <c r="J3" s="41" t="s">
        <v>73</v>
      </c>
      <c r="L3" s="41"/>
      <c r="N3" s="41"/>
    </row>
    <row r="4" spans="10:14" ht="12.75">
      <c r="J4" s="41" t="s">
        <v>63</v>
      </c>
      <c r="L4" s="41"/>
      <c r="N4" s="41"/>
    </row>
    <row r="5" spans="3:14" ht="12.75">
      <c r="C5" s="41" t="s">
        <v>63</v>
      </c>
      <c r="E5" s="41"/>
      <c r="G5" s="41"/>
      <c r="J5" s="41"/>
      <c r="L5" s="41"/>
      <c r="N5" s="41"/>
    </row>
    <row r="7" spans="1:9" ht="13.5" thickBot="1">
      <c r="A7" s="41" t="s">
        <v>74</v>
      </c>
      <c r="I7" s="41" t="s">
        <v>74</v>
      </c>
    </row>
    <row r="8" spans="1:15" s="38" customFormat="1" ht="13.5" thickBot="1">
      <c r="A8" s="121" t="s">
        <v>75</v>
      </c>
      <c r="B8" s="132" t="s">
        <v>222</v>
      </c>
      <c r="C8" s="132"/>
      <c r="D8" s="132" t="s">
        <v>224</v>
      </c>
      <c r="E8" s="132"/>
      <c r="F8" s="132" t="s">
        <v>226</v>
      </c>
      <c r="G8" s="132"/>
      <c r="H8" s="40"/>
      <c r="I8" s="121" t="s">
        <v>75</v>
      </c>
      <c r="J8" s="132" t="s">
        <v>221</v>
      </c>
      <c r="K8" s="132"/>
      <c r="L8" s="132" t="s">
        <v>223</v>
      </c>
      <c r="M8" s="132"/>
      <c r="N8" s="132" t="s">
        <v>225</v>
      </c>
      <c r="O8" s="132"/>
    </row>
    <row r="9" spans="1:15" ht="12.75">
      <c r="A9" s="42" t="s">
        <v>77</v>
      </c>
      <c r="B9" s="43"/>
      <c r="C9" s="43"/>
      <c r="D9" s="43"/>
      <c r="E9" s="43"/>
      <c r="F9" s="43"/>
      <c r="G9" s="43"/>
      <c r="I9" s="42" t="s">
        <v>76</v>
      </c>
      <c r="J9" s="43"/>
      <c r="K9" s="43">
        <v>8800000</v>
      </c>
      <c r="L9" s="43"/>
      <c r="M9" s="43">
        <v>107217776</v>
      </c>
      <c r="N9" s="43"/>
      <c r="O9" s="43">
        <f>SUM(K9,M9)</f>
        <v>116017776</v>
      </c>
    </row>
    <row r="10" spans="1:15" ht="12.75">
      <c r="A10" s="42" t="s">
        <v>79</v>
      </c>
      <c r="B10" s="43"/>
      <c r="C10" s="43">
        <v>3614676</v>
      </c>
      <c r="D10" s="43"/>
      <c r="E10" s="43">
        <v>68217016</v>
      </c>
      <c r="F10" s="43"/>
      <c r="G10" s="43">
        <f>SUM(C10,E10)</f>
        <v>71831692</v>
      </c>
      <c r="I10" s="44" t="s">
        <v>78</v>
      </c>
      <c r="J10" s="43">
        <v>8800000</v>
      </c>
      <c r="K10" s="43"/>
      <c r="L10" s="43"/>
      <c r="M10" s="43"/>
      <c r="N10" s="43">
        <f aca="true" t="shared" si="0" ref="N10:N36">SUM(J10,L10)</f>
        <v>8800000</v>
      </c>
      <c r="O10" s="43"/>
    </row>
    <row r="11" spans="1:15" ht="12.75">
      <c r="A11" s="42" t="s">
        <v>81</v>
      </c>
      <c r="B11" s="43"/>
      <c r="C11" s="43">
        <v>3614676</v>
      </c>
      <c r="D11" s="43"/>
      <c r="E11" s="43">
        <v>68217016</v>
      </c>
      <c r="F11" s="43"/>
      <c r="G11" s="43">
        <f aca="true" t="shared" si="1" ref="G11:G51">SUM(C11,E11)</f>
        <v>71831692</v>
      </c>
      <c r="I11" s="44" t="s">
        <v>80</v>
      </c>
      <c r="J11" s="43"/>
      <c r="K11" s="43"/>
      <c r="L11" s="43">
        <v>103000000</v>
      </c>
      <c r="M11" s="43"/>
      <c r="N11" s="43">
        <f t="shared" si="0"/>
        <v>103000000</v>
      </c>
      <c r="O11" s="43"/>
    </row>
    <row r="12" spans="1:15" ht="12.75">
      <c r="A12" s="44" t="s">
        <v>83</v>
      </c>
      <c r="B12" s="43"/>
      <c r="C12" s="43">
        <v>2529056</v>
      </c>
      <c r="D12" s="43"/>
      <c r="E12" s="43">
        <v>67092016</v>
      </c>
      <c r="F12" s="43"/>
      <c r="G12" s="43">
        <f t="shared" si="1"/>
        <v>69621072</v>
      </c>
      <c r="I12" s="44" t="s">
        <v>82</v>
      </c>
      <c r="J12" s="43"/>
      <c r="K12" s="43"/>
      <c r="L12" s="43">
        <v>4217776</v>
      </c>
      <c r="M12" s="43"/>
      <c r="N12" s="43">
        <f t="shared" si="0"/>
        <v>4217776</v>
      </c>
      <c r="O12" s="43"/>
    </row>
    <row r="13" spans="1:15" ht="12.75">
      <c r="A13" s="44" t="s">
        <v>85</v>
      </c>
      <c r="B13" s="43"/>
      <c r="C13" s="43">
        <v>1080000</v>
      </c>
      <c r="D13" s="43"/>
      <c r="E13" s="43"/>
      <c r="F13" s="43"/>
      <c r="G13" s="43">
        <f t="shared" si="1"/>
        <v>1080000</v>
      </c>
      <c r="I13" s="42" t="s">
        <v>84</v>
      </c>
      <c r="J13" s="122"/>
      <c r="K13" s="43">
        <v>0</v>
      </c>
      <c r="L13" s="122"/>
      <c r="M13" s="43">
        <v>0</v>
      </c>
      <c r="N13" s="122">
        <f t="shared" si="0"/>
        <v>0</v>
      </c>
      <c r="O13" s="43">
        <v>0</v>
      </c>
    </row>
    <row r="14" spans="1:15" ht="12.75">
      <c r="A14" s="44" t="s">
        <v>87</v>
      </c>
      <c r="B14" s="43"/>
      <c r="C14" s="43">
        <v>5620</v>
      </c>
      <c r="D14" s="43"/>
      <c r="E14" s="43"/>
      <c r="F14" s="43"/>
      <c r="G14" s="43">
        <f t="shared" si="1"/>
        <v>5620</v>
      </c>
      <c r="I14" s="42" t="s">
        <v>86</v>
      </c>
      <c r="J14" s="122"/>
      <c r="K14" s="122">
        <v>8800000</v>
      </c>
      <c r="L14" s="122"/>
      <c r="M14" s="122">
        <v>107217776</v>
      </c>
      <c r="N14" s="122">
        <f t="shared" si="0"/>
        <v>0</v>
      </c>
      <c r="O14" s="122">
        <f>SUM(K14,M14)</f>
        <v>116017776</v>
      </c>
    </row>
    <row r="15" spans="1:15" ht="12.75">
      <c r="A15" s="44" t="s">
        <v>89</v>
      </c>
      <c r="B15" s="43"/>
      <c r="C15" s="43"/>
      <c r="D15" s="43"/>
      <c r="E15" s="43">
        <v>1125000</v>
      </c>
      <c r="F15" s="43"/>
      <c r="G15" s="43">
        <f t="shared" si="1"/>
        <v>1125000</v>
      </c>
      <c r="I15" s="42" t="s">
        <v>88</v>
      </c>
      <c r="J15" s="43"/>
      <c r="K15" s="43">
        <v>3119620</v>
      </c>
      <c r="L15" s="43"/>
      <c r="M15" s="43">
        <v>60451707</v>
      </c>
      <c r="N15" s="43">
        <f t="shared" si="0"/>
        <v>0</v>
      </c>
      <c r="O15" s="43">
        <f>SUM(K15,M15)</f>
        <v>63571327</v>
      </c>
    </row>
    <row r="16" spans="1:15" ht="12.75">
      <c r="A16" s="42" t="s">
        <v>91</v>
      </c>
      <c r="B16" s="43"/>
      <c r="C16" s="43">
        <v>0</v>
      </c>
      <c r="D16" s="43"/>
      <c r="E16" s="43">
        <v>0</v>
      </c>
      <c r="F16" s="43"/>
      <c r="G16" s="43">
        <f t="shared" si="1"/>
        <v>0</v>
      </c>
      <c r="I16" s="44" t="s">
        <v>90</v>
      </c>
      <c r="J16" s="43"/>
      <c r="K16" s="43"/>
      <c r="L16" s="43">
        <v>100000</v>
      </c>
      <c r="M16" s="43"/>
      <c r="N16" s="43">
        <f t="shared" si="0"/>
        <v>100000</v>
      </c>
      <c r="O16" s="43"/>
    </row>
    <row r="17" spans="1:15" ht="12.75">
      <c r="A17" s="42" t="s">
        <v>93</v>
      </c>
      <c r="B17" s="43"/>
      <c r="C17" s="43">
        <v>434433634</v>
      </c>
      <c r="D17" s="43"/>
      <c r="E17" s="43">
        <v>47299063</v>
      </c>
      <c r="F17" s="43"/>
      <c r="G17" s="43">
        <f t="shared" si="1"/>
        <v>481732697</v>
      </c>
      <c r="I17" s="44" t="s">
        <v>92</v>
      </c>
      <c r="J17" s="43"/>
      <c r="K17" s="43"/>
      <c r="L17" s="43">
        <v>490300</v>
      </c>
      <c r="M17" s="43"/>
      <c r="N17" s="43">
        <f t="shared" si="0"/>
        <v>490300</v>
      </c>
      <c r="O17" s="43"/>
    </row>
    <row r="18" spans="1:15" ht="12.75">
      <c r="A18" s="42" t="s">
        <v>95</v>
      </c>
      <c r="B18" s="43"/>
      <c r="C18" s="43">
        <v>0</v>
      </c>
      <c r="D18" s="43"/>
      <c r="E18" s="43">
        <v>0</v>
      </c>
      <c r="F18" s="43"/>
      <c r="G18" s="43">
        <f t="shared" si="1"/>
        <v>0</v>
      </c>
      <c r="I18" s="44" t="s">
        <v>94</v>
      </c>
      <c r="J18" s="43"/>
      <c r="K18" s="43"/>
      <c r="L18" s="43">
        <v>568260</v>
      </c>
      <c r="M18" s="43"/>
      <c r="N18" s="43">
        <f t="shared" si="0"/>
        <v>568260</v>
      </c>
      <c r="O18" s="43"/>
    </row>
    <row r="19" spans="1:15" ht="12.75">
      <c r="A19" s="42" t="s">
        <v>97</v>
      </c>
      <c r="B19" s="43"/>
      <c r="C19" s="43">
        <v>434433634</v>
      </c>
      <c r="D19" s="43"/>
      <c r="E19" s="43">
        <v>45924063</v>
      </c>
      <c r="F19" s="43"/>
      <c r="G19" s="43">
        <f t="shared" si="1"/>
        <v>480357697</v>
      </c>
      <c r="I19" s="44" t="s">
        <v>96</v>
      </c>
      <c r="J19" s="43">
        <v>906598</v>
      </c>
      <c r="K19" s="43"/>
      <c r="L19" s="43">
        <v>3593470</v>
      </c>
      <c r="M19" s="43"/>
      <c r="N19" s="43">
        <f t="shared" si="0"/>
        <v>4500068</v>
      </c>
      <c r="O19" s="43"/>
    </row>
    <row r="20" spans="1:15" ht="12.75">
      <c r="A20" s="44" t="s">
        <v>99</v>
      </c>
      <c r="B20" s="43"/>
      <c r="C20" s="43">
        <v>386398286</v>
      </c>
      <c r="D20" s="43"/>
      <c r="E20" s="43"/>
      <c r="F20" s="43">
        <f aca="true" t="shared" si="2" ref="F20:F26">SUM(B20,D20)</f>
        <v>0</v>
      </c>
      <c r="G20" s="43">
        <f t="shared" si="1"/>
        <v>386398286</v>
      </c>
      <c r="I20" s="44" t="s">
        <v>98</v>
      </c>
      <c r="J20" s="43">
        <v>917872</v>
      </c>
      <c r="K20" s="43"/>
      <c r="L20" s="43">
        <v>8788937</v>
      </c>
      <c r="M20" s="43"/>
      <c r="N20" s="43">
        <f t="shared" si="0"/>
        <v>9706809</v>
      </c>
      <c r="O20" s="43"/>
    </row>
    <row r="21" spans="1:15" ht="12.75">
      <c r="A21" s="44" t="s">
        <v>101</v>
      </c>
      <c r="B21" s="43">
        <v>48953220</v>
      </c>
      <c r="C21" s="43"/>
      <c r="D21" s="43"/>
      <c r="E21" s="43"/>
      <c r="F21" s="43">
        <f t="shared" si="2"/>
        <v>48953220</v>
      </c>
      <c r="G21" s="43">
        <f t="shared" si="1"/>
        <v>0</v>
      </c>
      <c r="I21" s="44" t="s">
        <v>100</v>
      </c>
      <c r="J21" s="43"/>
      <c r="K21" s="43"/>
      <c r="L21" s="43">
        <v>954800</v>
      </c>
      <c r="M21" s="43"/>
      <c r="N21" s="43">
        <f t="shared" si="0"/>
        <v>954800</v>
      </c>
      <c r="O21" s="43"/>
    </row>
    <row r="22" spans="1:15" ht="12.75">
      <c r="A22" s="44" t="s">
        <v>103</v>
      </c>
      <c r="B22" s="45">
        <v>917872</v>
      </c>
      <c r="C22" s="43">
        <v>48035348</v>
      </c>
      <c r="D22" s="43"/>
      <c r="E22" s="43"/>
      <c r="F22" s="45">
        <f t="shared" si="2"/>
        <v>917872</v>
      </c>
      <c r="G22" s="43">
        <f t="shared" si="1"/>
        <v>48035348</v>
      </c>
      <c r="I22" s="44" t="s">
        <v>102</v>
      </c>
      <c r="J22" s="43"/>
      <c r="K22" s="43"/>
      <c r="L22" s="43">
        <v>231000</v>
      </c>
      <c r="M22" s="43"/>
      <c r="N22" s="43">
        <f t="shared" si="0"/>
        <v>231000</v>
      </c>
      <c r="O22" s="43"/>
    </row>
    <row r="23" spans="1:15" ht="12.75">
      <c r="A23" s="44" t="s">
        <v>105</v>
      </c>
      <c r="B23" s="43"/>
      <c r="C23" s="43"/>
      <c r="D23" s="43">
        <v>51713000</v>
      </c>
      <c r="E23" s="43"/>
      <c r="F23" s="43">
        <f t="shared" si="2"/>
        <v>51713000</v>
      </c>
      <c r="G23" s="43">
        <f t="shared" si="1"/>
        <v>0</v>
      </c>
      <c r="I23" s="44" t="s">
        <v>104</v>
      </c>
      <c r="J23" s="43"/>
      <c r="K23" s="43"/>
      <c r="L23" s="43">
        <v>145000</v>
      </c>
      <c r="M23" s="43"/>
      <c r="N23" s="43">
        <f t="shared" si="0"/>
        <v>145000</v>
      </c>
      <c r="O23" s="43"/>
    </row>
    <row r="24" spans="1:15" ht="12.75">
      <c r="A24" s="44" t="s">
        <v>103</v>
      </c>
      <c r="B24" s="45"/>
      <c r="C24" s="43"/>
      <c r="D24" s="45">
        <v>7774187</v>
      </c>
      <c r="E24" s="43">
        <v>43938813</v>
      </c>
      <c r="F24" s="45">
        <f t="shared" si="2"/>
        <v>7774187</v>
      </c>
      <c r="G24" s="43">
        <f t="shared" si="1"/>
        <v>43938813</v>
      </c>
      <c r="I24" s="44" t="s">
        <v>106</v>
      </c>
      <c r="J24" s="43"/>
      <c r="K24" s="43"/>
      <c r="L24" s="43">
        <v>2786700</v>
      </c>
      <c r="M24" s="43"/>
      <c r="N24" s="43">
        <f t="shared" si="0"/>
        <v>2786700</v>
      </c>
      <c r="O24" s="43"/>
    </row>
    <row r="25" spans="1:15" ht="12.75">
      <c r="A25" s="44" t="s">
        <v>108</v>
      </c>
      <c r="B25" s="43"/>
      <c r="C25" s="43"/>
      <c r="D25" s="43">
        <v>3000000</v>
      </c>
      <c r="E25" s="43"/>
      <c r="F25" s="43">
        <f t="shared" si="2"/>
        <v>3000000</v>
      </c>
      <c r="G25" s="43">
        <f t="shared" si="1"/>
        <v>0</v>
      </c>
      <c r="I25" s="44" t="s">
        <v>107</v>
      </c>
      <c r="J25" s="43">
        <v>491150</v>
      </c>
      <c r="K25" s="43"/>
      <c r="L25" s="43">
        <v>447400</v>
      </c>
      <c r="M25" s="43"/>
      <c r="N25" s="43">
        <f t="shared" si="0"/>
        <v>938550</v>
      </c>
      <c r="O25" s="43"/>
    </row>
    <row r="26" spans="1:15" ht="12.75">
      <c r="A26" s="44" t="s">
        <v>103</v>
      </c>
      <c r="B26" s="45"/>
      <c r="C26" s="43"/>
      <c r="D26" s="45">
        <v>1014750</v>
      </c>
      <c r="E26" s="43">
        <v>1985250</v>
      </c>
      <c r="F26" s="45">
        <f t="shared" si="2"/>
        <v>1014750</v>
      </c>
      <c r="G26" s="43">
        <f t="shared" si="1"/>
        <v>1985250</v>
      </c>
      <c r="I26" s="44" t="s">
        <v>109</v>
      </c>
      <c r="J26" s="43">
        <v>804000</v>
      </c>
      <c r="K26" s="43"/>
      <c r="L26" s="43">
        <v>33604200</v>
      </c>
      <c r="M26" s="43"/>
      <c r="N26" s="43">
        <f t="shared" si="0"/>
        <v>34408200</v>
      </c>
      <c r="O26" s="43"/>
    </row>
    <row r="27" spans="1:15" ht="12.75">
      <c r="A27" s="42" t="s">
        <v>111</v>
      </c>
      <c r="B27" s="43"/>
      <c r="C27" s="43">
        <v>0</v>
      </c>
      <c r="D27" s="43"/>
      <c r="E27" s="43">
        <v>1375000</v>
      </c>
      <c r="F27" s="43"/>
      <c r="G27" s="43">
        <f t="shared" si="1"/>
        <v>1375000</v>
      </c>
      <c r="I27" s="44" t="s">
        <v>110</v>
      </c>
      <c r="J27" s="43"/>
      <c r="K27" s="43"/>
      <c r="L27" s="43">
        <v>8741640</v>
      </c>
      <c r="M27" s="43"/>
      <c r="N27" s="43">
        <f t="shared" si="0"/>
        <v>8741640</v>
      </c>
      <c r="O27" s="43"/>
    </row>
    <row r="28" spans="1:15" ht="12.75">
      <c r="A28" s="44" t="s">
        <v>113</v>
      </c>
      <c r="B28" s="43"/>
      <c r="C28" s="43"/>
      <c r="D28" s="43"/>
      <c r="E28" s="43">
        <v>1375000</v>
      </c>
      <c r="F28" s="43"/>
      <c r="G28" s="43">
        <f t="shared" si="1"/>
        <v>1375000</v>
      </c>
      <c r="I28" s="42" t="s">
        <v>112</v>
      </c>
      <c r="J28" s="122"/>
      <c r="K28" s="122">
        <v>5680380</v>
      </c>
      <c r="L28" s="122"/>
      <c r="M28" s="122">
        <v>46766069</v>
      </c>
      <c r="N28" s="122">
        <f t="shared" si="0"/>
        <v>0</v>
      </c>
      <c r="O28" s="122">
        <f aca="true" t="shared" si="3" ref="O28:O37">SUM(K28,M28)</f>
        <v>52446449</v>
      </c>
    </row>
    <row r="29" spans="1:15" ht="12.75">
      <c r="A29" s="42" t="s">
        <v>115</v>
      </c>
      <c r="B29" s="43"/>
      <c r="C29" s="43">
        <v>0</v>
      </c>
      <c r="D29" s="43"/>
      <c r="E29" s="43">
        <v>0</v>
      </c>
      <c r="F29" s="43"/>
      <c r="G29" s="43">
        <f t="shared" si="1"/>
        <v>0</v>
      </c>
      <c r="I29" s="42" t="s">
        <v>114</v>
      </c>
      <c r="J29" s="43"/>
      <c r="K29" s="43">
        <v>47760</v>
      </c>
      <c r="L29" s="43"/>
      <c r="M29" s="43">
        <v>50000</v>
      </c>
      <c r="N29" s="43">
        <f t="shared" si="0"/>
        <v>0</v>
      </c>
      <c r="O29" s="43">
        <f t="shared" si="3"/>
        <v>97760</v>
      </c>
    </row>
    <row r="30" spans="1:15" ht="12.75">
      <c r="A30" s="42" t="s">
        <v>116</v>
      </c>
      <c r="B30" s="43"/>
      <c r="C30" s="43">
        <v>438048310</v>
      </c>
      <c r="D30" s="43"/>
      <c r="E30" s="43">
        <v>115516079</v>
      </c>
      <c r="F30" s="43"/>
      <c r="G30" s="43">
        <f t="shared" si="1"/>
        <v>553564389</v>
      </c>
      <c r="I30" s="42" t="s">
        <v>146</v>
      </c>
      <c r="J30" s="43">
        <v>42752</v>
      </c>
      <c r="K30" s="43"/>
      <c r="L30" s="43"/>
      <c r="M30" s="43"/>
      <c r="N30" s="43">
        <f t="shared" si="0"/>
        <v>42752</v>
      </c>
      <c r="O30" s="43">
        <f t="shared" si="3"/>
        <v>0</v>
      </c>
    </row>
    <row r="31" spans="1:15" ht="12.75">
      <c r="A31" s="42" t="s">
        <v>118</v>
      </c>
      <c r="B31" s="43"/>
      <c r="C31" s="43"/>
      <c r="D31" s="43"/>
      <c r="E31" s="43"/>
      <c r="F31" s="43"/>
      <c r="G31" s="43">
        <f t="shared" si="1"/>
        <v>0</v>
      </c>
      <c r="I31" s="44" t="s">
        <v>117</v>
      </c>
      <c r="J31" s="43">
        <v>5008</v>
      </c>
      <c r="K31" s="43"/>
      <c r="L31" s="43">
        <v>50000</v>
      </c>
      <c r="M31" s="43"/>
      <c r="N31" s="43">
        <f t="shared" si="0"/>
        <v>55008</v>
      </c>
      <c r="O31" s="43">
        <f t="shared" si="3"/>
        <v>0</v>
      </c>
    </row>
    <row r="32" spans="1:15" ht="12.75">
      <c r="A32" s="42" t="s">
        <v>120</v>
      </c>
      <c r="B32" s="43"/>
      <c r="C32" s="43">
        <v>1206440</v>
      </c>
      <c r="D32" s="43"/>
      <c r="E32" s="43">
        <v>36750910</v>
      </c>
      <c r="F32" s="43"/>
      <c r="G32" s="43">
        <f t="shared" si="1"/>
        <v>37957350</v>
      </c>
      <c r="I32" s="42" t="s">
        <v>119</v>
      </c>
      <c r="J32" s="43"/>
      <c r="K32" s="43">
        <v>4520000</v>
      </c>
      <c r="L32" s="43"/>
      <c r="M32" s="43">
        <v>22394</v>
      </c>
      <c r="N32" s="43">
        <f t="shared" si="0"/>
        <v>0</v>
      </c>
      <c r="O32" s="43">
        <f t="shared" si="3"/>
        <v>4542394</v>
      </c>
    </row>
    <row r="33" spans="1:15" ht="12.75">
      <c r="A33" s="44" t="s">
        <v>121</v>
      </c>
      <c r="B33" s="43"/>
      <c r="C33" s="43">
        <v>440000</v>
      </c>
      <c r="D33" s="43"/>
      <c r="E33" s="43"/>
      <c r="F33" s="43"/>
      <c r="G33" s="43">
        <f t="shared" si="1"/>
        <v>440000</v>
      </c>
      <c r="I33" s="44" t="s">
        <v>147</v>
      </c>
      <c r="J33" s="43">
        <v>4500000</v>
      </c>
      <c r="K33" s="43"/>
      <c r="L33" s="43"/>
      <c r="M33" s="43"/>
      <c r="N33" s="43">
        <f t="shared" si="0"/>
        <v>4500000</v>
      </c>
      <c r="O33" s="43">
        <f t="shared" si="3"/>
        <v>0</v>
      </c>
    </row>
    <row r="34" spans="1:15" ht="12.75">
      <c r="A34" s="44" t="s">
        <v>123</v>
      </c>
      <c r="B34" s="43"/>
      <c r="C34" s="43">
        <v>275290</v>
      </c>
      <c r="D34" s="43"/>
      <c r="E34" s="43"/>
      <c r="F34" s="43"/>
      <c r="G34" s="43">
        <f t="shared" si="1"/>
        <v>275290</v>
      </c>
      <c r="I34" s="44" t="s">
        <v>122</v>
      </c>
      <c r="J34" s="43">
        <v>20000</v>
      </c>
      <c r="K34" s="43"/>
      <c r="L34" s="43">
        <v>22394</v>
      </c>
      <c r="M34" s="43"/>
      <c r="N34" s="43">
        <f t="shared" si="0"/>
        <v>42394</v>
      </c>
      <c r="O34" s="43">
        <f t="shared" si="3"/>
        <v>0</v>
      </c>
    </row>
    <row r="35" spans="1:15" ht="12.75">
      <c r="A35" s="44" t="s">
        <v>125</v>
      </c>
      <c r="B35" s="43"/>
      <c r="C35" s="43">
        <v>491150</v>
      </c>
      <c r="D35" s="43"/>
      <c r="E35" s="43"/>
      <c r="F35" s="43"/>
      <c r="G35" s="43">
        <f t="shared" si="1"/>
        <v>491150</v>
      </c>
      <c r="I35" s="42" t="s">
        <v>124</v>
      </c>
      <c r="J35" s="43"/>
      <c r="K35" s="43">
        <v>1208140</v>
      </c>
      <c r="L35" s="43"/>
      <c r="M35" s="43">
        <v>46793675</v>
      </c>
      <c r="N35" s="43">
        <f t="shared" si="0"/>
        <v>0</v>
      </c>
      <c r="O35" s="43">
        <f t="shared" si="3"/>
        <v>48001815</v>
      </c>
    </row>
    <row r="36" spans="1:15" ht="12.75">
      <c r="A36" s="44" t="s">
        <v>127</v>
      </c>
      <c r="B36" s="43"/>
      <c r="C36" s="43"/>
      <c r="D36" s="43"/>
      <c r="E36" s="43">
        <v>36750910</v>
      </c>
      <c r="F36" s="43"/>
      <c r="G36" s="43">
        <f t="shared" si="1"/>
        <v>36750910</v>
      </c>
      <c r="I36" s="42" t="s">
        <v>126</v>
      </c>
      <c r="J36" s="43"/>
      <c r="K36" s="43">
        <v>0</v>
      </c>
      <c r="L36" s="43"/>
      <c r="M36" s="43">
        <v>0</v>
      </c>
      <c r="N36" s="43">
        <f t="shared" si="0"/>
        <v>0</v>
      </c>
      <c r="O36" s="43">
        <f t="shared" si="3"/>
        <v>0</v>
      </c>
    </row>
    <row r="37" spans="1:15" ht="13.5" thickBot="1">
      <c r="A37" s="42" t="s">
        <v>129</v>
      </c>
      <c r="B37" s="43"/>
      <c r="C37" s="43">
        <v>282224</v>
      </c>
      <c r="D37" s="43"/>
      <c r="E37" s="43">
        <v>0</v>
      </c>
      <c r="F37" s="43"/>
      <c r="G37" s="43">
        <f t="shared" si="1"/>
        <v>282224</v>
      </c>
      <c r="I37" s="123" t="s">
        <v>128</v>
      </c>
      <c r="J37" s="124"/>
      <c r="K37" s="124">
        <v>1208140</v>
      </c>
      <c r="L37" s="124"/>
      <c r="M37" s="124">
        <v>46793675</v>
      </c>
      <c r="N37" s="124"/>
      <c r="O37" s="124">
        <f t="shared" si="3"/>
        <v>48001815</v>
      </c>
    </row>
    <row r="38" spans="1:7" ht="12.75">
      <c r="A38" s="44" t="s">
        <v>27</v>
      </c>
      <c r="B38" s="43"/>
      <c r="C38" s="43">
        <v>282224</v>
      </c>
      <c r="D38" s="43"/>
      <c r="E38" s="43"/>
      <c r="F38" s="43"/>
      <c r="G38" s="43">
        <f t="shared" si="1"/>
        <v>282224</v>
      </c>
    </row>
    <row r="39" spans="1:15" ht="12.75">
      <c r="A39" s="42" t="s">
        <v>130</v>
      </c>
      <c r="B39" s="43"/>
      <c r="C39" s="43">
        <v>1488664</v>
      </c>
      <c r="D39" s="43"/>
      <c r="E39" s="43">
        <v>36750910</v>
      </c>
      <c r="F39" s="43"/>
      <c r="G39" s="43">
        <f t="shared" si="1"/>
        <v>38239574</v>
      </c>
      <c r="J39" s="46"/>
      <c r="M39" s="46"/>
      <c r="O39" s="46"/>
    </row>
    <row r="40" spans="1:13" ht="12.75">
      <c r="A40" s="42" t="s">
        <v>131</v>
      </c>
      <c r="B40" s="43"/>
      <c r="C40" s="43"/>
      <c r="D40" s="43"/>
      <c r="E40" s="43"/>
      <c r="F40" s="43"/>
      <c r="G40" s="43">
        <f t="shared" si="1"/>
        <v>0</v>
      </c>
      <c r="K40" s="46"/>
      <c r="M40" s="46"/>
    </row>
    <row r="41" spans="1:11" ht="12.75">
      <c r="A41" s="42" t="s">
        <v>132</v>
      </c>
      <c r="B41" s="43"/>
      <c r="C41" s="43">
        <v>435351506</v>
      </c>
      <c r="D41" s="43"/>
      <c r="E41" s="43">
        <v>31971494</v>
      </c>
      <c r="F41" s="43"/>
      <c r="G41" s="43">
        <f t="shared" si="1"/>
        <v>467323000</v>
      </c>
      <c r="K41" s="46"/>
    </row>
    <row r="42" spans="1:13" ht="12.75">
      <c r="A42" s="44" t="s">
        <v>133</v>
      </c>
      <c r="B42" s="43"/>
      <c r="C42" s="43">
        <v>435351506</v>
      </c>
      <c r="D42" s="43"/>
      <c r="E42" s="43">
        <v>31971494</v>
      </c>
      <c r="F42" s="43"/>
      <c r="G42" s="43">
        <f t="shared" si="1"/>
        <v>467323000</v>
      </c>
      <c r="M42" s="46"/>
    </row>
    <row r="43" spans="1:7" ht="12.75">
      <c r="A43" s="42" t="s">
        <v>134</v>
      </c>
      <c r="B43" s="43"/>
      <c r="C43" s="43">
        <v>0</v>
      </c>
      <c r="D43" s="43"/>
      <c r="E43" s="43">
        <v>0</v>
      </c>
      <c r="F43" s="43"/>
      <c r="G43" s="43">
        <f t="shared" si="1"/>
        <v>0</v>
      </c>
    </row>
    <row r="44" spans="1:7" ht="12.75">
      <c r="A44" s="42" t="s">
        <v>135</v>
      </c>
      <c r="B44" s="43"/>
      <c r="C44" s="43">
        <v>0</v>
      </c>
      <c r="D44" s="43"/>
      <c r="E44" s="43">
        <v>0</v>
      </c>
      <c r="F44" s="43"/>
      <c r="G44" s="43">
        <f t="shared" si="1"/>
        <v>0</v>
      </c>
    </row>
    <row r="45" spans="1:7" ht="12.75">
      <c r="A45" s="42" t="s">
        <v>136</v>
      </c>
      <c r="B45" s="43"/>
      <c r="C45" s="43">
        <v>0</v>
      </c>
      <c r="D45" s="43"/>
      <c r="E45" s="43">
        <v>0</v>
      </c>
      <c r="F45" s="43"/>
      <c r="G45" s="43">
        <f t="shared" si="1"/>
        <v>0</v>
      </c>
    </row>
    <row r="46" spans="1:7" ht="12.75">
      <c r="A46" s="42" t="s">
        <v>137</v>
      </c>
      <c r="B46" s="43"/>
      <c r="C46" s="43">
        <v>1208140</v>
      </c>
      <c r="D46" s="43"/>
      <c r="E46" s="43">
        <v>46793675</v>
      </c>
      <c r="F46" s="43"/>
      <c r="G46" s="43">
        <f t="shared" si="1"/>
        <v>48001815</v>
      </c>
    </row>
    <row r="47" spans="1:7" ht="12.75">
      <c r="A47" s="42" t="s">
        <v>138</v>
      </c>
      <c r="B47" s="43"/>
      <c r="C47" s="43">
        <v>1208140</v>
      </c>
      <c r="D47" s="43"/>
      <c r="E47" s="43">
        <v>46793675</v>
      </c>
      <c r="F47" s="43"/>
      <c r="G47" s="43">
        <f t="shared" si="1"/>
        <v>48001815</v>
      </c>
    </row>
    <row r="48" spans="1:7" ht="12.75">
      <c r="A48" s="42" t="s">
        <v>139</v>
      </c>
      <c r="B48" s="43"/>
      <c r="C48" s="43"/>
      <c r="D48" s="43"/>
      <c r="E48" s="43"/>
      <c r="F48" s="43"/>
      <c r="G48" s="43">
        <f t="shared" si="1"/>
        <v>0</v>
      </c>
    </row>
    <row r="49" spans="1:7" ht="12.75">
      <c r="A49" s="42" t="s">
        <v>140</v>
      </c>
      <c r="B49" s="43"/>
      <c r="C49" s="43"/>
      <c r="D49" s="43"/>
      <c r="E49" s="43"/>
      <c r="F49" s="43"/>
      <c r="G49" s="43">
        <f t="shared" si="1"/>
        <v>0</v>
      </c>
    </row>
    <row r="50" spans="1:7" ht="12.75">
      <c r="A50" s="42" t="s">
        <v>141</v>
      </c>
      <c r="B50" s="43"/>
      <c r="C50" s="43"/>
      <c r="D50" s="43"/>
      <c r="E50" s="43"/>
      <c r="F50" s="43"/>
      <c r="G50" s="43">
        <f t="shared" si="1"/>
        <v>0</v>
      </c>
    </row>
    <row r="51" spans="1:7" ht="12.75">
      <c r="A51" s="42" t="s">
        <v>142</v>
      </c>
      <c r="B51" s="43"/>
      <c r="C51" s="43">
        <v>436559646</v>
      </c>
      <c r="D51" s="43"/>
      <c r="E51" s="43">
        <v>78765169</v>
      </c>
      <c r="F51" s="43"/>
      <c r="G51" s="43">
        <f t="shared" si="1"/>
        <v>515324815</v>
      </c>
    </row>
    <row r="52" spans="1:7" ht="13.5" thickBot="1">
      <c r="A52" s="123" t="s">
        <v>143</v>
      </c>
      <c r="B52" s="125"/>
      <c r="C52" s="125">
        <v>438048310</v>
      </c>
      <c r="D52" s="125"/>
      <c r="E52" s="125">
        <v>115516079</v>
      </c>
      <c r="F52" s="125"/>
      <c r="G52" s="125">
        <f>SUM(C52,E52)</f>
        <v>553564389</v>
      </c>
    </row>
    <row r="57" ht="12.75">
      <c r="G57" s="46"/>
    </row>
  </sheetData>
  <sheetProtection/>
  <mergeCells count="8">
    <mergeCell ref="A1:G1"/>
    <mergeCell ref="I1:O1"/>
    <mergeCell ref="J8:K8"/>
    <mergeCell ref="D8:E8"/>
    <mergeCell ref="F8:G8"/>
    <mergeCell ref="B8:C8"/>
    <mergeCell ref="N8:O8"/>
    <mergeCell ref="L8:M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C6" sqref="C6:E6"/>
    </sheetView>
  </sheetViews>
  <sheetFormatPr defaultColWidth="3.140625" defaultRowHeight="12.75"/>
  <cols>
    <col min="1" max="1" width="0.9921875" style="95" customWidth="1"/>
    <col min="2" max="8" width="12.00390625" style="95" customWidth="1"/>
    <col min="9" max="9" width="1.421875" style="95" customWidth="1"/>
    <col min="10" max="10" width="12.00390625" style="95" customWidth="1"/>
    <col min="11" max="16384" width="3.140625" style="95" customWidth="1"/>
  </cols>
  <sheetData>
    <row r="1" ht="15" customHeight="1">
      <c r="B1" s="96" t="s">
        <v>270</v>
      </c>
    </row>
    <row r="2" spans="2:10" s="97" customFormat="1" ht="36.75" customHeight="1">
      <c r="B2" s="133" t="s">
        <v>271</v>
      </c>
      <c r="C2" s="134"/>
      <c r="D2" s="134"/>
      <c r="E2" s="134"/>
      <c r="F2" s="134"/>
      <c r="G2" s="134"/>
      <c r="H2" s="134"/>
      <c r="I2" s="135"/>
      <c r="J2" s="135"/>
    </row>
    <row r="3" spans="2:10" s="97" customFormat="1" ht="13.5" customHeight="1" thickBot="1">
      <c r="B3" s="98"/>
      <c r="C3" s="98"/>
      <c r="D3" s="98"/>
      <c r="E3" s="98"/>
      <c r="F3" s="98"/>
      <c r="G3" s="98"/>
      <c r="H3" s="98"/>
      <c r="I3" s="98"/>
      <c r="J3" s="99" t="s">
        <v>272</v>
      </c>
    </row>
    <row r="4" spans="2:10" ht="30" customHeight="1">
      <c r="B4" s="136" t="s">
        <v>273</v>
      </c>
      <c r="C4" s="136"/>
      <c r="D4" s="136"/>
      <c r="E4" s="136"/>
      <c r="F4" s="136"/>
      <c r="G4" s="136"/>
      <c r="H4" s="136"/>
      <c r="I4" s="136"/>
      <c r="J4" s="136"/>
    </row>
    <row r="5" spans="2:10" ht="30" customHeight="1">
      <c r="B5" s="100" t="s">
        <v>274</v>
      </c>
      <c r="C5" s="137" t="s">
        <v>341</v>
      </c>
      <c r="D5" s="138"/>
      <c r="E5" s="138"/>
      <c r="F5" s="139" t="s">
        <v>275</v>
      </c>
      <c r="G5" s="140"/>
      <c r="H5" s="137" t="s">
        <v>340</v>
      </c>
      <c r="I5" s="138"/>
      <c r="J5" s="138"/>
    </row>
    <row r="6" spans="2:10" ht="30" customHeight="1">
      <c r="B6" s="100" t="s">
        <v>276</v>
      </c>
      <c r="C6" s="137" t="s">
        <v>346</v>
      </c>
      <c r="D6" s="138"/>
      <c r="E6" s="138"/>
      <c r="F6" s="141" t="s">
        <v>277</v>
      </c>
      <c r="G6" s="141"/>
      <c r="H6" s="142" t="s">
        <v>345</v>
      </c>
      <c r="I6" s="143"/>
      <c r="J6" s="143"/>
    </row>
    <row r="7" spans="2:10" ht="30" customHeight="1">
      <c r="B7" s="100" t="s">
        <v>278</v>
      </c>
      <c r="C7" s="144" t="s">
        <v>342</v>
      </c>
      <c r="D7" s="145"/>
      <c r="E7" s="145"/>
      <c r="F7" s="141" t="s">
        <v>279</v>
      </c>
      <c r="G7" s="141"/>
      <c r="H7" s="102">
        <f>'[1]기본사항'!F14</f>
        <v>43466</v>
      </c>
      <c r="I7" s="103" t="s">
        <v>280</v>
      </c>
      <c r="J7" s="104">
        <f>'[1]기본사항'!F15</f>
        <v>43830</v>
      </c>
    </row>
    <row r="8" spans="2:10" ht="30" customHeight="1">
      <c r="B8" s="100" t="s">
        <v>281</v>
      </c>
      <c r="C8" s="144" t="s">
        <v>343</v>
      </c>
      <c r="D8" s="146"/>
      <c r="E8" s="146"/>
      <c r="F8" s="141" t="s">
        <v>264</v>
      </c>
      <c r="G8" s="141"/>
      <c r="H8" s="147">
        <v>43644</v>
      </c>
      <c r="I8" s="142"/>
      <c r="J8" s="142"/>
    </row>
    <row r="9" spans="2:10" ht="30" customHeight="1">
      <c r="B9" s="100" t="s">
        <v>265</v>
      </c>
      <c r="C9" s="137" t="s">
        <v>344</v>
      </c>
      <c r="D9" s="138"/>
      <c r="E9" s="138"/>
      <c r="F9" s="138"/>
      <c r="G9" s="138"/>
      <c r="H9" s="138"/>
      <c r="I9" s="138"/>
      <c r="J9" s="138"/>
    </row>
    <row r="10" spans="2:10" ht="15" customHeight="1">
      <c r="B10" s="148" t="s">
        <v>282</v>
      </c>
      <c r="C10" s="148"/>
      <c r="D10" s="148"/>
      <c r="E10" s="148"/>
      <c r="F10" s="148"/>
      <c r="G10" s="148"/>
      <c r="H10" s="148"/>
      <c r="I10" s="148"/>
      <c r="J10" s="148"/>
    </row>
    <row r="11" spans="2:10" ht="15" customHeight="1">
      <c r="B11" s="105"/>
      <c r="C11" s="106"/>
      <c r="D11" s="106"/>
      <c r="E11" s="105"/>
      <c r="F11" s="107"/>
      <c r="G11" s="107"/>
      <c r="H11" s="107"/>
      <c r="I11" s="107"/>
      <c r="J11" s="108" t="s">
        <v>283</v>
      </c>
    </row>
    <row r="12" spans="2:10" s="109" customFormat="1" ht="30" customHeight="1">
      <c r="B12" s="110" t="s">
        <v>284</v>
      </c>
      <c r="C12" s="111" t="s">
        <v>266</v>
      </c>
      <c r="D12" s="111" t="s">
        <v>267</v>
      </c>
      <c r="E12" s="112" t="s">
        <v>268</v>
      </c>
      <c r="F12" s="101" t="s">
        <v>269</v>
      </c>
      <c r="G12" s="101" t="s">
        <v>285</v>
      </c>
      <c r="H12" s="101" t="s">
        <v>286</v>
      </c>
      <c r="I12" s="142" t="s">
        <v>287</v>
      </c>
      <c r="J12" s="143"/>
    </row>
    <row r="13" spans="2:10" s="109" customFormat="1" ht="19.5" customHeight="1">
      <c r="B13" s="110" t="s">
        <v>288</v>
      </c>
      <c r="C13" s="119" t="s">
        <v>289</v>
      </c>
      <c r="D13" s="119" t="s">
        <v>289</v>
      </c>
      <c r="E13" s="119"/>
      <c r="F13" s="101" t="s">
        <v>290</v>
      </c>
      <c r="G13" s="118">
        <v>100000000</v>
      </c>
      <c r="H13" s="118">
        <v>34150504</v>
      </c>
      <c r="I13" s="149">
        <f>G13-H13</f>
        <v>65849496</v>
      </c>
      <c r="J13" s="150"/>
    </row>
    <row r="14" spans="2:10" s="109" customFormat="1" ht="19.5" customHeight="1">
      <c r="B14" s="110" t="s">
        <v>291</v>
      </c>
      <c r="C14" s="120"/>
      <c r="D14" s="120"/>
      <c r="E14" s="120">
        <f aca="true" t="shared" si="0" ref="E14:E20">C14-D14</f>
        <v>0</v>
      </c>
      <c r="F14" s="101" t="s">
        <v>292</v>
      </c>
      <c r="G14" s="118"/>
      <c r="H14" s="118">
        <v>4140940</v>
      </c>
      <c r="I14" s="149">
        <f>I13+G14-H14</f>
        <v>61708556</v>
      </c>
      <c r="J14" s="150"/>
    </row>
    <row r="15" spans="2:10" s="109" customFormat="1" ht="19.5" customHeight="1">
      <c r="B15" s="110" t="s">
        <v>293</v>
      </c>
      <c r="C15" s="120"/>
      <c r="D15" s="120"/>
      <c r="E15" s="120">
        <f t="shared" si="0"/>
        <v>0</v>
      </c>
      <c r="F15" s="101" t="s">
        <v>294</v>
      </c>
      <c r="G15" s="118"/>
      <c r="H15" s="118">
        <v>7453730</v>
      </c>
      <c r="I15" s="149">
        <f>I14+G15-H15</f>
        <v>54254826</v>
      </c>
      <c r="J15" s="150"/>
    </row>
    <row r="16" spans="2:10" s="109" customFormat="1" ht="19.5" customHeight="1">
      <c r="B16" s="110" t="s">
        <v>295</v>
      </c>
      <c r="C16" s="120"/>
      <c r="D16" s="120"/>
      <c r="E16" s="120">
        <f t="shared" si="0"/>
        <v>0</v>
      </c>
      <c r="F16" s="101" t="s">
        <v>296</v>
      </c>
      <c r="G16" s="118"/>
      <c r="H16" s="118">
        <v>2711430</v>
      </c>
      <c r="I16" s="149">
        <f>I15+G16-H16</f>
        <v>51543396</v>
      </c>
      <c r="J16" s="150"/>
    </row>
    <row r="17" spans="2:10" s="109" customFormat="1" ht="19.5" customHeight="1">
      <c r="B17" s="110" t="s">
        <v>297</v>
      </c>
      <c r="C17" s="120">
        <f>출현현황!C17</f>
        <v>470323000</v>
      </c>
      <c r="D17" s="120">
        <f>C17</f>
        <v>470323000</v>
      </c>
      <c r="E17" s="120">
        <f t="shared" si="0"/>
        <v>0</v>
      </c>
      <c r="F17" s="101" t="s">
        <v>298</v>
      </c>
      <c r="G17" s="118"/>
      <c r="H17" s="118">
        <v>8967497</v>
      </c>
      <c r="I17" s="149">
        <f>I16+G17-H17</f>
        <v>42575899</v>
      </c>
      <c r="J17" s="150"/>
    </row>
    <row r="18" spans="2:10" s="109" customFormat="1" ht="19.5" customHeight="1">
      <c r="B18" s="110" t="s">
        <v>299</v>
      </c>
      <c r="C18" s="120"/>
      <c r="D18" s="120"/>
      <c r="E18" s="120">
        <f t="shared" si="0"/>
        <v>0</v>
      </c>
      <c r="F18" s="101" t="s">
        <v>300</v>
      </c>
      <c r="G18" s="118">
        <v>570323000</v>
      </c>
      <c r="H18" s="118">
        <v>527747101</v>
      </c>
      <c r="I18" s="149">
        <f>G18-H18</f>
        <v>42575899</v>
      </c>
      <c r="J18" s="150"/>
    </row>
    <row r="19" spans="2:10" s="109" customFormat="1" ht="19.5" customHeight="1">
      <c r="B19" s="110" t="s">
        <v>301</v>
      </c>
      <c r="C19" s="120"/>
      <c r="D19" s="120"/>
      <c r="E19" s="120">
        <f t="shared" si="0"/>
        <v>0</v>
      </c>
      <c r="F19" s="151" t="s">
        <v>302</v>
      </c>
      <c r="G19" s="153" t="s">
        <v>289</v>
      </c>
      <c r="H19" s="153" t="s">
        <v>289</v>
      </c>
      <c r="I19" s="155">
        <f>E13+I18</f>
        <v>42575899</v>
      </c>
      <c r="J19" s="156"/>
    </row>
    <row r="20" spans="2:10" s="109" customFormat="1" ht="19.5" customHeight="1">
      <c r="B20" s="110" t="s">
        <v>303</v>
      </c>
      <c r="C20" s="120"/>
      <c r="D20" s="120"/>
      <c r="E20" s="120">
        <f t="shared" si="0"/>
        <v>0</v>
      </c>
      <c r="F20" s="152"/>
      <c r="G20" s="154"/>
      <c r="H20" s="154"/>
      <c r="I20" s="157"/>
      <c r="J20" s="158"/>
    </row>
    <row r="21" spans="2:10" ht="15" customHeight="1">
      <c r="B21" s="159" t="s">
        <v>304</v>
      </c>
      <c r="C21" s="160"/>
      <c r="D21" s="160"/>
      <c r="E21" s="160"/>
      <c r="F21" s="160"/>
      <c r="G21" s="160"/>
      <c r="H21" s="160"/>
      <c r="I21" s="161"/>
      <c r="J21" s="161"/>
    </row>
    <row r="22" spans="2:10" ht="15" customHeight="1">
      <c r="B22" s="105"/>
      <c r="C22" s="106"/>
      <c r="D22" s="106"/>
      <c r="E22" s="105"/>
      <c r="F22" s="107"/>
      <c r="G22" s="107"/>
      <c r="H22" s="107"/>
      <c r="I22" s="107"/>
      <c r="J22" s="108" t="s">
        <v>283</v>
      </c>
    </row>
    <row r="23" spans="2:10" s="109" customFormat="1" ht="30" customHeight="1">
      <c r="B23" s="110" t="s">
        <v>305</v>
      </c>
      <c r="C23" s="162" t="s">
        <v>306</v>
      </c>
      <c r="D23" s="162"/>
      <c r="E23" s="112" t="s">
        <v>307</v>
      </c>
      <c r="F23" s="163" t="s">
        <v>308</v>
      </c>
      <c r="G23" s="164"/>
      <c r="H23" s="143" t="s">
        <v>309</v>
      </c>
      <c r="I23" s="143"/>
      <c r="J23" s="143"/>
    </row>
    <row r="24" spans="2:10" s="109" customFormat="1" ht="19.5" customHeight="1">
      <c r="B24" s="110" t="s">
        <v>334</v>
      </c>
      <c r="C24" s="162" t="s">
        <v>333</v>
      </c>
      <c r="D24" s="165"/>
      <c r="E24" s="112">
        <v>1</v>
      </c>
      <c r="F24" s="142"/>
      <c r="G24" s="164"/>
      <c r="H24" s="166">
        <f>D17</f>
        <v>470323000</v>
      </c>
      <c r="I24" s="167"/>
      <c r="J24" s="167"/>
    </row>
    <row r="25" spans="2:10" s="109" customFormat="1" ht="19.5" customHeight="1">
      <c r="B25" s="110" t="s">
        <v>335</v>
      </c>
      <c r="C25" s="162" t="s">
        <v>333</v>
      </c>
      <c r="D25" s="165"/>
      <c r="E25" s="112">
        <v>1</v>
      </c>
      <c r="F25" s="142"/>
      <c r="G25" s="164"/>
      <c r="H25" s="166">
        <f>H13</f>
        <v>34150504</v>
      </c>
      <c r="I25" s="167"/>
      <c r="J25" s="167"/>
    </row>
    <row r="26" spans="2:10" s="109" customFormat="1" ht="19.5" customHeight="1">
      <c r="B26" s="110" t="s">
        <v>336</v>
      </c>
      <c r="C26" s="162" t="s">
        <v>332</v>
      </c>
      <c r="D26" s="165"/>
      <c r="E26" s="112">
        <v>1</v>
      </c>
      <c r="F26" s="142"/>
      <c r="G26" s="164"/>
      <c r="H26" s="166">
        <f>H14</f>
        <v>4140940</v>
      </c>
      <c r="I26" s="167"/>
      <c r="J26" s="167"/>
    </row>
    <row r="27" spans="2:10" s="109" customFormat="1" ht="19.5" customHeight="1">
      <c r="B27" s="110" t="s">
        <v>337</v>
      </c>
      <c r="C27" s="162" t="s">
        <v>332</v>
      </c>
      <c r="D27" s="165"/>
      <c r="E27" s="112">
        <v>1</v>
      </c>
      <c r="F27" s="142"/>
      <c r="G27" s="164"/>
      <c r="H27" s="166">
        <f>H15</f>
        <v>7453730</v>
      </c>
      <c r="I27" s="167"/>
      <c r="J27" s="167"/>
    </row>
    <row r="28" spans="2:10" s="109" customFormat="1" ht="19.5" customHeight="1">
      <c r="B28" s="110" t="s">
        <v>338</v>
      </c>
      <c r="C28" s="162" t="s">
        <v>332</v>
      </c>
      <c r="D28" s="165"/>
      <c r="E28" s="112">
        <v>1</v>
      </c>
      <c r="F28" s="142"/>
      <c r="G28" s="164"/>
      <c r="H28" s="166">
        <f>H16</f>
        <v>2711430</v>
      </c>
      <c r="I28" s="167"/>
      <c r="J28" s="167"/>
    </row>
    <row r="29" spans="2:10" s="109" customFormat="1" ht="19.5" customHeight="1">
      <c r="B29" s="110" t="s">
        <v>339</v>
      </c>
      <c r="C29" s="162" t="s">
        <v>332</v>
      </c>
      <c r="D29" s="165"/>
      <c r="E29" s="112">
        <v>1</v>
      </c>
      <c r="F29" s="142"/>
      <c r="G29" s="164"/>
      <c r="H29" s="166">
        <f>H17</f>
        <v>8967497</v>
      </c>
      <c r="I29" s="167"/>
      <c r="J29" s="167"/>
    </row>
    <row r="30" spans="2:10" s="109" customFormat="1" ht="30.75" customHeight="1">
      <c r="B30" s="110" t="s">
        <v>310</v>
      </c>
      <c r="C30" s="162" t="s">
        <v>311</v>
      </c>
      <c r="D30" s="162"/>
      <c r="E30" s="112" t="s">
        <v>312</v>
      </c>
      <c r="F30" s="163" t="s">
        <v>313</v>
      </c>
      <c r="G30" s="164"/>
      <c r="H30" s="143" t="s">
        <v>314</v>
      </c>
      <c r="I30" s="143"/>
      <c r="J30" s="143"/>
    </row>
    <row r="31" spans="2:10" s="109" customFormat="1" ht="19.5" customHeight="1">
      <c r="B31" s="168"/>
      <c r="C31" s="162"/>
      <c r="D31" s="162"/>
      <c r="E31" s="112"/>
      <c r="F31" s="142"/>
      <c r="G31" s="164"/>
      <c r="H31" s="143"/>
      <c r="I31" s="143"/>
      <c r="J31" s="143"/>
    </row>
    <row r="32" spans="2:10" s="109" customFormat="1" ht="19.5" customHeight="1">
      <c r="B32" s="169"/>
      <c r="C32" s="170"/>
      <c r="D32" s="170"/>
      <c r="E32" s="113"/>
      <c r="F32" s="142"/>
      <c r="G32" s="164"/>
      <c r="H32" s="143"/>
      <c r="I32" s="143"/>
      <c r="J32" s="143"/>
    </row>
    <row r="33" spans="2:10" s="109" customFormat="1" ht="19.5" customHeight="1">
      <c r="B33" s="110" t="s">
        <v>300</v>
      </c>
      <c r="C33" s="171"/>
      <c r="D33" s="171"/>
      <c r="E33" s="112">
        <f>IF(SUM(E31:E32)=0,"",SUM(E31:E32))</f>
      </c>
      <c r="F33" s="172"/>
      <c r="G33" s="173"/>
      <c r="H33" s="143">
        <f>IF(SUM(H31:J32)=0,"",SUM(H31:J32))</f>
      </c>
      <c r="I33" s="143"/>
      <c r="J33" s="143"/>
    </row>
    <row r="34" spans="2:10" ht="15" customHeight="1">
      <c r="B34" s="159" t="s">
        <v>315</v>
      </c>
      <c r="C34" s="160"/>
      <c r="D34" s="160"/>
      <c r="E34" s="160"/>
      <c r="F34" s="160"/>
      <c r="G34" s="160"/>
      <c r="H34" s="160"/>
      <c r="I34" s="161"/>
      <c r="J34" s="161"/>
    </row>
    <row r="35" spans="2:10" ht="15" customHeight="1">
      <c r="B35" s="105"/>
      <c r="C35" s="106"/>
      <c r="D35" s="106"/>
      <c r="E35" s="105"/>
      <c r="F35" s="107"/>
      <c r="G35" s="107"/>
      <c r="H35" s="107"/>
      <c r="I35" s="107"/>
      <c r="J35" s="108" t="s">
        <v>283</v>
      </c>
    </row>
    <row r="36" spans="2:10" s="109" customFormat="1" ht="30" customHeight="1">
      <c r="B36" s="110" t="s">
        <v>316</v>
      </c>
      <c r="C36" s="111" t="s">
        <v>317</v>
      </c>
      <c r="D36" s="174" t="s">
        <v>318</v>
      </c>
      <c r="E36" s="175"/>
      <c r="F36" s="112" t="s">
        <v>319</v>
      </c>
      <c r="G36" s="163" t="s">
        <v>320</v>
      </c>
      <c r="H36" s="176"/>
      <c r="I36" s="142" t="s">
        <v>321</v>
      </c>
      <c r="J36" s="143"/>
    </row>
    <row r="37" spans="2:10" s="109" customFormat="1" ht="19.5" customHeight="1">
      <c r="B37" s="110"/>
      <c r="C37" s="111"/>
      <c r="D37" s="174"/>
      <c r="E37" s="175"/>
      <c r="F37" s="114"/>
      <c r="G37" s="142"/>
      <c r="H37" s="143"/>
      <c r="I37" s="142"/>
      <c r="J37" s="143"/>
    </row>
    <row r="38" spans="2:10" s="109" customFormat="1" ht="19.5" customHeight="1">
      <c r="B38" s="110"/>
      <c r="C38" s="111"/>
      <c r="D38" s="174"/>
      <c r="E38" s="175"/>
      <c r="F38" s="114"/>
      <c r="G38" s="142"/>
      <c r="H38" s="143"/>
      <c r="I38" s="142"/>
      <c r="J38" s="143"/>
    </row>
    <row r="39" spans="2:10" s="109" customFormat="1" ht="19.5" customHeight="1">
      <c r="B39" s="110"/>
      <c r="C39" s="111"/>
      <c r="D39" s="174"/>
      <c r="E39" s="175"/>
      <c r="F39" s="114"/>
      <c r="G39" s="142"/>
      <c r="H39" s="143"/>
      <c r="I39" s="142"/>
      <c r="J39" s="143"/>
    </row>
    <row r="40" spans="2:10" s="109" customFormat="1" ht="19.5" customHeight="1">
      <c r="B40" s="110"/>
      <c r="C40" s="111"/>
      <c r="D40" s="174"/>
      <c r="E40" s="175"/>
      <c r="F40" s="114"/>
      <c r="G40" s="142"/>
      <c r="H40" s="143"/>
      <c r="I40" s="142"/>
      <c r="J40" s="143"/>
    </row>
    <row r="41" spans="2:10" s="109" customFormat="1" ht="30.75" customHeight="1">
      <c r="B41" s="110" t="s">
        <v>322</v>
      </c>
      <c r="C41" s="111" t="s">
        <v>323</v>
      </c>
      <c r="D41" s="174" t="s">
        <v>324</v>
      </c>
      <c r="E41" s="175"/>
      <c r="F41" s="112" t="s">
        <v>325</v>
      </c>
      <c r="G41" s="163" t="s">
        <v>326</v>
      </c>
      <c r="H41" s="176"/>
      <c r="I41" s="142" t="s">
        <v>327</v>
      </c>
      <c r="J41" s="143"/>
    </row>
    <row r="42" spans="2:10" s="109" customFormat="1" ht="19.5" customHeight="1">
      <c r="B42" s="168"/>
      <c r="C42" s="111"/>
      <c r="D42" s="174"/>
      <c r="E42" s="175"/>
      <c r="F42" s="114"/>
      <c r="G42" s="142"/>
      <c r="H42" s="143"/>
      <c r="I42" s="142"/>
      <c r="J42" s="143"/>
    </row>
    <row r="43" spans="2:10" s="109" customFormat="1" ht="19.5" customHeight="1">
      <c r="B43" s="169"/>
      <c r="C43" s="111"/>
      <c r="D43" s="174"/>
      <c r="E43" s="175"/>
      <c r="F43" s="114"/>
      <c r="G43" s="142"/>
      <c r="H43" s="143"/>
      <c r="I43" s="142"/>
      <c r="J43" s="143"/>
    </row>
    <row r="44" spans="2:10" s="109" customFormat="1" ht="19.5" customHeight="1">
      <c r="B44" s="110" t="s">
        <v>300</v>
      </c>
      <c r="C44" s="115"/>
      <c r="D44" s="177"/>
      <c r="E44" s="178"/>
      <c r="F44" s="112">
        <f>IF(SUM(F42:F43)=0,"",SUM(F42:F43))</f>
      </c>
      <c r="G44" s="172"/>
      <c r="H44" s="179"/>
      <c r="I44" s="142">
        <f>IF(SUM(I42:J43)=0,"",SUM(I42:J43))</f>
      </c>
      <c r="J44" s="143"/>
    </row>
    <row r="45" ht="24" customHeight="1">
      <c r="B45" s="95" t="s">
        <v>328</v>
      </c>
    </row>
    <row r="46" ht="15" customHeight="1"/>
    <row r="47" ht="15" customHeight="1">
      <c r="J47" s="116" t="s">
        <v>329</v>
      </c>
    </row>
    <row r="48" spans="6:10" ht="15" customHeight="1">
      <c r="F48" s="116" t="s">
        <v>330</v>
      </c>
      <c r="J48" s="116" t="s">
        <v>331</v>
      </c>
    </row>
    <row r="49" spans="2:10" ht="24" customHeight="1" thickBot="1">
      <c r="B49" s="117"/>
      <c r="C49" s="117"/>
      <c r="D49" s="117"/>
      <c r="E49" s="117"/>
      <c r="F49" s="117"/>
      <c r="G49" s="117"/>
      <c r="H49" s="117"/>
      <c r="I49" s="117"/>
      <c r="J49" s="117"/>
    </row>
  </sheetData>
  <sheetProtection/>
  <mergeCells count="90">
    <mergeCell ref="H29:J29"/>
    <mergeCell ref="D44:E44"/>
    <mergeCell ref="G44:H44"/>
    <mergeCell ref="I44:J44"/>
    <mergeCell ref="C26:D26"/>
    <mergeCell ref="F26:G26"/>
    <mergeCell ref="H26:J26"/>
    <mergeCell ref="C27:D27"/>
    <mergeCell ref="F27:G27"/>
    <mergeCell ref="H27:J27"/>
    <mergeCell ref="C28:D28"/>
    <mergeCell ref="D41:E41"/>
    <mergeCell ref="G41:H41"/>
    <mergeCell ref="I41:J41"/>
    <mergeCell ref="B42:B43"/>
    <mergeCell ref="D42:E42"/>
    <mergeCell ref="G42:H42"/>
    <mergeCell ref="I42:J42"/>
    <mergeCell ref="D43:E43"/>
    <mergeCell ref="G43:H43"/>
    <mergeCell ref="I43:J43"/>
    <mergeCell ref="D39:E39"/>
    <mergeCell ref="G39:H39"/>
    <mergeCell ref="I39:J39"/>
    <mergeCell ref="D40:E40"/>
    <mergeCell ref="G40:H40"/>
    <mergeCell ref="I40:J40"/>
    <mergeCell ref="D37:E37"/>
    <mergeCell ref="G37:H37"/>
    <mergeCell ref="I37:J37"/>
    <mergeCell ref="D38:E38"/>
    <mergeCell ref="G38:H38"/>
    <mergeCell ref="I38:J38"/>
    <mergeCell ref="C33:D33"/>
    <mergeCell ref="F33:G33"/>
    <mergeCell ref="H33:J33"/>
    <mergeCell ref="B34:J34"/>
    <mergeCell ref="D36:E36"/>
    <mergeCell ref="G36:H36"/>
    <mergeCell ref="I36:J36"/>
    <mergeCell ref="B31:B32"/>
    <mergeCell ref="C31:D31"/>
    <mergeCell ref="F31:G31"/>
    <mergeCell ref="H31:J31"/>
    <mergeCell ref="C32:D32"/>
    <mergeCell ref="F32:G32"/>
    <mergeCell ref="H32:J32"/>
    <mergeCell ref="C30:D30"/>
    <mergeCell ref="F30:G30"/>
    <mergeCell ref="H30:J30"/>
    <mergeCell ref="C25:D25"/>
    <mergeCell ref="F25:G25"/>
    <mergeCell ref="H25:J25"/>
    <mergeCell ref="F28:G28"/>
    <mergeCell ref="H28:J28"/>
    <mergeCell ref="C29:D29"/>
    <mergeCell ref="F29:G29"/>
    <mergeCell ref="B21:J21"/>
    <mergeCell ref="C23:D23"/>
    <mergeCell ref="F23:G23"/>
    <mergeCell ref="H23:J23"/>
    <mergeCell ref="C24:D24"/>
    <mergeCell ref="F24:G24"/>
    <mergeCell ref="H24:J24"/>
    <mergeCell ref="I17:J17"/>
    <mergeCell ref="I18:J18"/>
    <mergeCell ref="F19:F20"/>
    <mergeCell ref="G19:G20"/>
    <mergeCell ref="H19:H20"/>
    <mergeCell ref="I19:J20"/>
    <mergeCell ref="B10:J10"/>
    <mergeCell ref="I12:J12"/>
    <mergeCell ref="I13:J13"/>
    <mergeCell ref="I14:J14"/>
    <mergeCell ref="I15:J15"/>
    <mergeCell ref="I16:J16"/>
    <mergeCell ref="C7:E7"/>
    <mergeCell ref="F7:G7"/>
    <mergeCell ref="C8:E8"/>
    <mergeCell ref="F8:G8"/>
    <mergeCell ref="H8:J8"/>
    <mergeCell ref="C9:J9"/>
    <mergeCell ref="B2:J2"/>
    <mergeCell ref="B4:J4"/>
    <mergeCell ref="C5:E5"/>
    <mergeCell ref="F5:G5"/>
    <mergeCell ref="H5:J5"/>
    <mergeCell ref="C6:E6"/>
    <mergeCell ref="F6:G6"/>
    <mergeCell ref="H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6.57421875" style="50" bestFit="1" customWidth="1"/>
    <col min="2" max="2" width="14.7109375" style="51" bestFit="1" customWidth="1"/>
    <col min="3" max="3" width="14.7109375" style="52" bestFit="1" customWidth="1"/>
    <col min="4" max="16384" width="9.140625" style="33" customWidth="1"/>
  </cols>
  <sheetData>
    <row r="1" spans="1:3" ht="18">
      <c r="A1" s="181" t="s">
        <v>23</v>
      </c>
      <c r="B1" s="181"/>
      <c r="C1" s="181"/>
    </row>
    <row r="2" ht="14.25"/>
    <row r="3" ht="14.25">
      <c r="A3" s="50" t="s">
        <v>228</v>
      </c>
    </row>
    <row r="4" spans="1:3" ht="14.25">
      <c r="A4" s="53" t="s">
        <v>229</v>
      </c>
      <c r="B4" s="180" t="s">
        <v>230</v>
      </c>
      <c r="C4" s="180"/>
    </row>
    <row r="5" spans="1:3" ht="14.25">
      <c r="A5" s="54" t="s">
        <v>24</v>
      </c>
      <c r="B5" s="55"/>
      <c r="C5" s="56">
        <v>8800000</v>
      </c>
    </row>
    <row r="6" spans="1:3" ht="14.25">
      <c r="A6" s="54" t="s">
        <v>231</v>
      </c>
      <c r="B6" s="57"/>
      <c r="C6" s="57">
        <v>1208140</v>
      </c>
    </row>
    <row r="7" spans="1:3" ht="14.25">
      <c r="A7" s="54" t="s">
        <v>232</v>
      </c>
      <c r="B7" s="57" t="s">
        <v>25</v>
      </c>
      <c r="C7" s="57">
        <f>SUM(C8:C11)</f>
        <v>1645930</v>
      </c>
    </row>
    <row r="8" spans="1:3" ht="14.25">
      <c r="A8" s="58" t="s">
        <v>26</v>
      </c>
      <c r="B8" s="54" t="s">
        <v>28</v>
      </c>
      <c r="C8" s="54"/>
    </row>
    <row r="9" spans="1:3" ht="14.25">
      <c r="A9" s="58" t="s">
        <v>27</v>
      </c>
      <c r="B9" s="54" t="s">
        <v>28</v>
      </c>
      <c r="C9" s="54">
        <v>1645930</v>
      </c>
    </row>
    <row r="10" spans="1:3" ht="14.25">
      <c r="A10" s="58"/>
      <c r="B10" s="54"/>
      <c r="C10" s="54"/>
    </row>
    <row r="11" spans="1:3" ht="14.25">
      <c r="A11" s="58"/>
      <c r="B11" s="54"/>
      <c r="C11" s="54"/>
    </row>
    <row r="12" spans="1:3" ht="14.25">
      <c r="A12" s="57" t="s">
        <v>233</v>
      </c>
      <c r="B12" s="57"/>
      <c r="C12" s="57">
        <f>SUM(C13:C15)</f>
        <v>0</v>
      </c>
    </row>
    <row r="13" spans="1:3" ht="14.25">
      <c r="A13" s="59" t="s">
        <v>27</v>
      </c>
      <c r="B13" s="57" t="s">
        <v>29</v>
      </c>
      <c r="C13" s="57"/>
    </row>
    <row r="14" spans="1:3" ht="14.25">
      <c r="A14" s="57"/>
      <c r="B14" s="57"/>
      <c r="C14" s="57"/>
    </row>
    <row r="15" spans="1:3" ht="14.25">
      <c r="A15" s="58"/>
      <c r="B15" s="54"/>
      <c r="C15" s="54"/>
    </row>
    <row r="16" spans="1:3" ht="14.25">
      <c r="A16" s="60" t="s">
        <v>234</v>
      </c>
      <c r="B16" s="57"/>
      <c r="C16" s="57">
        <f>C6+C7-C12</f>
        <v>2854070</v>
      </c>
    </row>
    <row r="17" spans="1:3" ht="14.25">
      <c r="A17" s="60" t="s">
        <v>235</v>
      </c>
      <c r="B17" s="56"/>
      <c r="C17" s="56"/>
    </row>
    <row r="18" spans="1:3" ht="14.25">
      <c r="A18" s="60" t="s">
        <v>236</v>
      </c>
      <c r="B18" s="56"/>
      <c r="C18" s="56"/>
    </row>
    <row r="19" spans="1:3" ht="14.25">
      <c r="A19" s="54" t="s">
        <v>237</v>
      </c>
      <c r="B19" s="56"/>
      <c r="C19" s="56">
        <f>C16+C17-C18</f>
        <v>2854070</v>
      </c>
    </row>
    <row r="20" spans="1:3" ht="14.25">
      <c r="A20" s="54" t="s">
        <v>238</v>
      </c>
      <c r="B20" s="56"/>
      <c r="C20" s="56">
        <f>IF(C19&gt;0,MIN(C19*C21,C22),0)</f>
        <v>0</v>
      </c>
    </row>
    <row r="21" spans="1:3" ht="14.25">
      <c r="A21" s="61" t="s">
        <v>239</v>
      </c>
      <c r="B21" s="62"/>
      <c r="C21" s="62">
        <v>1</v>
      </c>
    </row>
    <row r="22" spans="1:3" ht="14.25">
      <c r="A22" s="61" t="s">
        <v>240</v>
      </c>
      <c r="B22" s="63"/>
      <c r="C22" s="63">
        <v>0</v>
      </c>
    </row>
    <row r="23" spans="1:3" ht="14.25">
      <c r="A23" s="64" t="s">
        <v>241</v>
      </c>
      <c r="B23" s="65"/>
      <c r="C23" s="65"/>
    </row>
    <row r="24" spans="1:3" ht="14.25">
      <c r="A24" s="64" t="s">
        <v>242</v>
      </c>
      <c r="B24" s="65"/>
      <c r="C24" s="65"/>
    </row>
    <row r="25" spans="1:3" ht="14.25">
      <c r="A25" s="66" t="s">
        <v>243</v>
      </c>
      <c r="B25" s="56"/>
      <c r="C25" s="56">
        <f>C19-C20-C23-C24</f>
        <v>2854070</v>
      </c>
    </row>
    <row r="26" spans="1:3" ht="14.25">
      <c r="A26" s="66" t="s">
        <v>244</v>
      </c>
      <c r="B26" s="67"/>
      <c r="C26" s="67" t="str">
        <f>IF(C25&gt;20000000000,"22%",IF(C25&lt;=200000000,"10%","20%"))</f>
        <v>10%</v>
      </c>
    </row>
    <row r="27" spans="1:3" ht="14.25">
      <c r="A27" s="66" t="s">
        <v>245</v>
      </c>
      <c r="B27" s="68"/>
      <c r="C27" s="68">
        <f>MAX(ROUNDDOWN(IF(C25&gt;20000000000,(C25-20000000000)*0.22+3980000000,IF(C25&lt;=200000000,C25*0.1,(C25-200000000)*0.2+20000000)),0),0)</f>
        <v>285407</v>
      </c>
    </row>
    <row r="28" spans="1:3" ht="14.25">
      <c r="A28" s="69" t="s">
        <v>246</v>
      </c>
      <c r="B28" s="56"/>
      <c r="C28" s="56">
        <f>SUM(C29:C30)</f>
        <v>0</v>
      </c>
    </row>
    <row r="29" spans="1:3" ht="14.25">
      <c r="A29" s="69"/>
      <c r="B29" s="56"/>
      <c r="C29" s="56"/>
    </row>
    <row r="30" spans="1:3" ht="14.25">
      <c r="A30" s="70"/>
      <c r="B30" s="56"/>
      <c r="C30" s="56"/>
    </row>
    <row r="31" spans="1:3" ht="16.5">
      <c r="A31" s="71" t="s">
        <v>257</v>
      </c>
      <c r="B31" s="56"/>
      <c r="C31" s="56">
        <f>SUM(C27:C28)</f>
        <v>285407</v>
      </c>
    </row>
    <row r="32" spans="1:3" ht="14.25">
      <c r="A32" s="66" t="s">
        <v>247</v>
      </c>
      <c r="B32" s="56"/>
      <c r="C32" s="56">
        <f>SUM(C33:C34)</f>
        <v>5110</v>
      </c>
    </row>
    <row r="33" spans="1:3" ht="16.5">
      <c r="A33" s="72" t="s">
        <v>258</v>
      </c>
      <c r="B33" s="56"/>
      <c r="C33" s="56"/>
    </row>
    <row r="34" spans="1:3" ht="16.5">
      <c r="A34" s="73" t="s">
        <v>259</v>
      </c>
      <c r="B34" s="65"/>
      <c r="C34" s="65">
        <v>5110</v>
      </c>
    </row>
    <row r="35" spans="1:3" ht="14.25">
      <c r="A35" s="69" t="s">
        <v>248</v>
      </c>
      <c r="B35" s="56"/>
      <c r="C35" s="74">
        <f>C31-C32</f>
        <v>280297</v>
      </c>
    </row>
    <row r="36" spans="1:2" ht="14.25">
      <c r="A36" s="75"/>
      <c r="B36" s="52"/>
    </row>
    <row r="37" spans="1:2" ht="14.25">
      <c r="A37" s="76" t="s">
        <v>249</v>
      </c>
      <c r="B37" s="52"/>
    </row>
    <row r="38" spans="1:3" ht="14.25">
      <c r="A38" s="69" t="s">
        <v>250</v>
      </c>
      <c r="B38" s="56"/>
      <c r="C38" s="56">
        <f>TRUNC(C27*0.1,)</f>
        <v>28540</v>
      </c>
    </row>
    <row r="39" spans="1:3" ht="14.25">
      <c r="A39" s="69" t="s">
        <v>251</v>
      </c>
      <c r="B39" s="56"/>
      <c r="C39" s="56"/>
    </row>
    <row r="40" spans="1:3" ht="14.25">
      <c r="A40" s="69" t="s">
        <v>30</v>
      </c>
      <c r="B40" s="56"/>
      <c r="C40" s="56"/>
    </row>
    <row r="41" spans="1:3" ht="14.25">
      <c r="A41" s="69" t="s">
        <v>247</v>
      </c>
      <c r="B41" s="56"/>
      <c r="C41" s="56">
        <v>510</v>
      </c>
    </row>
    <row r="42" spans="1:3" ht="14.25">
      <c r="A42" s="54" t="s">
        <v>252</v>
      </c>
      <c r="B42" s="56"/>
      <c r="C42" s="74">
        <f>C38-C39+C40-C41</f>
        <v>28030</v>
      </c>
    </row>
    <row r="43" ht="14.25"/>
    <row r="44" ht="14.25">
      <c r="A44" s="77" t="s">
        <v>253</v>
      </c>
    </row>
    <row r="45" spans="1:3" ht="14.25">
      <c r="A45" s="53" t="s">
        <v>254</v>
      </c>
      <c r="B45" s="78" t="s">
        <v>255</v>
      </c>
      <c r="C45" s="79" t="s">
        <v>256</v>
      </c>
    </row>
    <row r="46" spans="1:3" ht="14.25">
      <c r="A46" s="60"/>
      <c r="B46" s="57"/>
      <c r="C46" s="57"/>
    </row>
    <row r="47" spans="1:3" ht="14.25">
      <c r="A47" s="80"/>
      <c r="B47" s="81"/>
      <c r="C47" s="57"/>
    </row>
    <row r="48" spans="1:3" ht="14.25">
      <c r="A48" s="80"/>
      <c r="B48" s="81"/>
      <c r="C48" s="57"/>
    </row>
    <row r="49" spans="1:3" ht="14.25">
      <c r="A49" s="80" t="s">
        <v>17</v>
      </c>
      <c r="B49" s="81">
        <f>SUM(B46:B48)</f>
        <v>0</v>
      </c>
      <c r="C49" s="81">
        <f>SUM(C46:C48)</f>
        <v>0</v>
      </c>
    </row>
  </sheetData>
  <sheetProtection/>
  <mergeCells count="2">
    <mergeCell ref="B4:C4"/>
    <mergeCell ref="A1:C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N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5.28125" style="82" bestFit="1" customWidth="1"/>
    <col min="2" max="2" width="19.7109375" style="83" bestFit="1" customWidth="1"/>
    <col min="3" max="3" width="7.140625" style="84" bestFit="1" customWidth="1"/>
    <col min="4" max="4" width="10.8515625" style="84" bestFit="1" customWidth="1"/>
    <col min="5" max="5" width="9.7109375" style="83" bestFit="1" customWidth="1"/>
    <col min="6" max="7" width="9.140625" style="83" bestFit="1" customWidth="1"/>
    <col min="8" max="8" width="8.00390625" style="83" bestFit="1" customWidth="1"/>
    <col min="9" max="9" width="12.57421875" style="83" bestFit="1" customWidth="1"/>
    <col min="10" max="14" width="12.57421875" style="85" bestFit="1" customWidth="1"/>
    <col min="15" max="16384" width="9.00390625" style="86" customWidth="1"/>
  </cols>
  <sheetData>
    <row r="1" spans="12:14" ht="14.25">
      <c r="L1" s="1"/>
      <c r="M1" s="1"/>
      <c r="N1" s="1"/>
    </row>
    <row r="2" spans="2:10" ht="14.25">
      <c r="B2" s="87" t="s">
        <v>31</v>
      </c>
      <c r="C2" s="87" t="s">
        <v>32</v>
      </c>
      <c r="D2" s="87" t="s">
        <v>33</v>
      </c>
      <c r="E2" s="87" t="s">
        <v>34</v>
      </c>
      <c r="F2" s="88" t="s">
        <v>35</v>
      </c>
      <c r="G2" s="89" t="s">
        <v>36</v>
      </c>
      <c r="H2" s="89" t="s">
        <v>37</v>
      </c>
      <c r="I2" s="89" t="s">
        <v>38</v>
      </c>
      <c r="J2" s="88" t="s">
        <v>39</v>
      </c>
    </row>
    <row r="3" spans="2:10" ht="14.25">
      <c r="B3" s="89" t="s">
        <v>144</v>
      </c>
      <c r="C3" s="89"/>
      <c r="D3" s="90"/>
      <c r="E3" s="91">
        <f>D3/D$7</f>
        <v>0</v>
      </c>
      <c r="F3" s="92">
        <f>F$7*$E3</f>
        <v>0</v>
      </c>
      <c r="G3" s="92">
        <f aca="true" t="shared" si="0" ref="G3:J4">G$7*$E3</f>
        <v>0</v>
      </c>
      <c r="H3" s="92">
        <f t="shared" si="0"/>
        <v>0</v>
      </c>
      <c r="I3" s="92">
        <f t="shared" si="0"/>
        <v>0</v>
      </c>
      <c r="J3" s="92">
        <f t="shared" si="0"/>
        <v>0</v>
      </c>
    </row>
    <row r="4" spans="2:10" ht="14.25">
      <c r="B4" s="89" t="s">
        <v>145</v>
      </c>
      <c r="C4" s="89"/>
      <c r="D4" s="93">
        <v>198</v>
      </c>
      <c r="E4" s="91">
        <f>D4/D$7</f>
        <v>1</v>
      </c>
      <c r="F4" s="92">
        <f>F$7*$E4</f>
        <v>28540</v>
      </c>
      <c r="G4" s="92">
        <f t="shared" si="0"/>
        <v>0</v>
      </c>
      <c r="H4" s="92">
        <f t="shared" si="0"/>
        <v>0</v>
      </c>
      <c r="I4" s="92">
        <f t="shared" si="0"/>
        <v>510</v>
      </c>
      <c r="J4" s="92">
        <f t="shared" si="0"/>
        <v>28030</v>
      </c>
    </row>
    <row r="5" spans="2:10" ht="14.25">
      <c r="B5" s="89"/>
      <c r="C5" s="89"/>
      <c r="D5" s="93"/>
      <c r="E5" s="91"/>
      <c r="F5" s="92"/>
      <c r="G5" s="92"/>
      <c r="H5" s="92"/>
      <c r="I5" s="92"/>
      <c r="J5" s="92"/>
    </row>
    <row r="6" spans="2:10" ht="14.25">
      <c r="B6" s="89"/>
      <c r="C6" s="89"/>
      <c r="D6" s="93"/>
      <c r="E6" s="91"/>
      <c r="F6" s="92"/>
      <c r="G6" s="92"/>
      <c r="H6" s="92"/>
      <c r="I6" s="92"/>
      <c r="J6" s="92"/>
    </row>
    <row r="7" spans="2:10" ht="14.25">
      <c r="B7" s="89" t="s">
        <v>40</v>
      </c>
      <c r="C7" s="89">
        <f>SUM(C3:C6)</f>
        <v>0</v>
      </c>
      <c r="D7" s="93">
        <f>SUM(D3:D6)</f>
        <v>198</v>
      </c>
      <c r="E7" s="91">
        <f>D7/D$7</f>
        <v>1</v>
      </c>
      <c r="F7" s="94">
        <f>법인세!C38</f>
        <v>28540</v>
      </c>
      <c r="G7" s="94"/>
      <c r="H7" s="94"/>
      <c r="I7" s="94">
        <f>법인세!C41</f>
        <v>510</v>
      </c>
      <c r="J7" s="94">
        <f>F7-G7+H7-I7</f>
        <v>28030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6"/>
  <sheetViews>
    <sheetView zoomScalePageLayoutView="0" workbookViewId="0" topLeftCell="A1">
      <selection activeCell="E19" sqref="E19"/>
    </sheetView>
  </sheetViews>
  <sheetFormatPr defaultColWidth="12.7109375" defaultRowHeight="12.75"/>
  <cols>
    <col min="1" max="16384" width="12.7109375" style="23" customWidth="1"/>
  </cols>
  <sheetData>
    <row r="1" s="30" customFormat="1" ht="14.25"/>
    <row r="2" spans="2:3" s="30" customFormat="1" ht="14.25">
      <c r="B2" s="30" t="s">
        <v>173</v>
      </c>
      <c r="C2" s="30" t="s">
        <v>161</v>
      </c>
    </row>
    <row r="3" s="30" customFormat="1" ht="14.25"/>
    <row r="4" s="30" customFormat="1" ht="14.25">
      <c r="B4" s="30" t="s">
        <v>174</v>
      </c>
    </row>
    <row r="5" ht="13.5" customHeight="1"/>
    <row r="6" spans="2:14" ht="14.25">
      <c r="B6" s="21" t="s">
        <v>157</v>
      </c>
      <c r="C6" s="21" t="s">
        <v>151</v>
      </c>
      <c r="D6" s="27" t="s">
        <v>168</v>
      </c>
      <c r="E6" s="27" t="s">
        <v>169</v>
      </c>
      <c r="F6" s="24" t="s">
        <v>156</v>
      </c>
      <c r="G6" s="21" t="s">
        <v>153</v>
      </c>
      <c r="H6" s="21" t="s">
        <v>152</v>
      </c>
      <c r="J6" s="21" t="s">
        <v>149</v>
      </c>
      <c r="K6" s="24" t="s">
        <v>150</v>
      </c>
      <c r="L6" s="25"/>
      <c r="M6" s="22" t="s">
        <v>11</v>
      </c>
      <c r="N6" s="22" t="s">
        <v>162</v>
      </c>
    </row>
    <row r="7" spans="2:14" ht="14.25">
      <c r="B7" s="182" t="s">
        <v>171</v>
      </c>
      <c r="C7" s="21" t="s">
        <v>159</v>
      </c>
      <c r="D7" s="31">
        <v>323</v>
      </c>
      <c r="E7" s="29">
        <v>587000</v>
      </c>
      <c r="F7" s="26">
        <v>189601000</v>
      </c>
      <c r="G7" s="26">
        <f>F7-H7</f>
        <v>0</v>
      </c>
      <c r="H7" s="26">
        <f>F7</f>
        <v>189601000</v>
      </c>
      <c r="J7" s="26">
        <v>8190833</v>
      </c>
      <c r="K7" s="26">
        <f>SUM(F7:J7)</f>
        <v>387392833</v>
      </c>
      <c r="L7" s="25"/>
      <c r="M7" s="21" t="s">
        <v>163</v>
      </c>
      <c r="N7" s="32">
        <v>14814200</v>
      </c>
    </row>
    <row r="8" spans="2:14" ht="14.25">
      <c r="B8" s="183"/>
      <c r="C8" s="21" t="s">
        <v>160</v>
      </c>
      <c r="D8" s="31">
        <v>308</v>
      </c>
      <c r="E8" s="29">
        <v>587000</v>
      </c>
      <c r="F8" s="26">
        <v>180796000</v>
      </c>
      <c r="G8" s="26">
        <f aca="true" t="shared" si="0" ref="G8:G13">F8-H8</f>
        <v>0</v>
      </c>
      <c r="H8" s="26">
        <f>F8</f>
        <v>180796000</v>
      </c>
      <c r="J8" s="26">
        <v>7810453</v>
      </c>
      <c r="K8" s="26">
        <f>SUM(F8:J8)</f>
        <v>369402453</v>
      </c>
      <c r="L8" s="25"/>
      <c r="M8" s="21" t="s">
        <v>164</v>
      </c>
      <c r="N8" s="32">
        <v>1269780</v>
      </c>
    </row>
    <row r="9" spans="2:14" ht="14.25">
      <c r="B9" s="183"/>
      <c r="C9" s="21" t="s">
        <v>148</v>
      </c>
      <c r="D9" s="31">
        <v>198</v>
      </c>
      <c r="E9" s="21">
        <v>237000</v>
      </c>
      <c r="F9" s="26">
        <v>46926000</v>
      </c>
      <c r="G9" s="26">
        <f t="shared" si="0"/>
        <v>0</v>
      </c>
      <c r="H9" s="26">
        <f>F9</f>
        <v>46926000</v>
      </c>
      <c r="J9" s="26">
        <v>2027220</v>
      </c>
      <c r="K9" s="26">
        <f>SUM(F9:J9)</f>
        <v>95879220</v>
      </c>
      <c r="L9" s="25"/>
      <c r="M9" s="21" t="s">
        <v>165</v>
      </c>
      <c r="N9" s="32">
        <v>846520</v>
      </c>
    </row>
    <row r="10" spans="2:14" ht="14.25">
      <c r="B10" s="183"/>
      <c r="C10" s="21" t="s">
        <v>155</v>
      </c>
      <c r="D10" s="21"/>
      <c r="E10" s="21"/>
      <c r="F10" s="26">
        <v>50000000</v>
      </c>
      <c r="G10" s="26">
        <f t="shared" si="0"/>
        <v>31971494</v>
      </c>
      <c r="H10" s="26">
        <v>18028506</v>
      </c>
      <c r="J10" s="26"/>
      <c r="K10" s="26"/>
      <c r="L10" s="25"/>
      <c r="M10" s="21" t="s">
        <v>166</v>
      </c>
      <c r="N10" s="32">
        <v>214006</v>
      </c>
    </row>
    <row r="11" spans="2:14" ht="13.5" customHeight="1">
      <c r="B11" s="184"/>
      <c r="C11" s="21" t="s">
        <v>158</v>
      </c>
      <c r="D11" s="21"/>
      <c r="E11" s="21"/>
      <c r="F11" s="28">
        <f>SUM(F7:F10)</f>
        <v>467323000</v>
      </c>
      <c r="G11" s="28">
        <f t="shared" si="0"/>
        <v>31971494</v>
      </c>
      <c r="H11" s="28">
        <f>SUM(H7:H10)</f>
        <v>435351506</v>
      </c>
      <c r="J11" s="26">
        <f>SUM(J7:J10)</f>
        <v>18028506</v>
      </c>
      <c r="K11" s="26">
        <f>SUM(K7:K10)</f>
        <v>852674506</v>
      </c>
      <c r="L11" s="25"/>
      <c r="M11" s="21" t="s">
        <v>167</v>
      </c>
      <c r="N11" s="32">
        <v>39000</v>
      </c>
    </row>
    <row r="12" spans="2:14" ht="14.25">
      <c r="B12" s="21" t="s">
        <v>172</v>
      </c>
      <c r="C12" s="21" t="s">
        <v>154</v>
      </c>
      <c r="D12" s="21"/>
      <c r="E12" s="21"/>
      <c r="F12" s="26">
        <v>3000000</v>
      </c>
      <c r="G12" s="26">
        <f t="shared" si="0"/>
        <v>3000000</v>
      </c>
      <c r="H12" s="26"/>
      <c r="J12" s="26"/>
      <c r="K12" s="26"/>
      <c r="L12" s="25"/>
      <c r="M12" s="21" t="s">
        <v>167</v>
      </c>
      <c r="N12" s="32">
        <v>20000</v>
      </c>
    </row>
    <row r="13" spans="2:14" ht="14.25">
      <c r="B13" s="21" t="s">
        <v>156</v>
      </c>
      <c r="C13" s="21"/>
      <c r="D13" s="21"/>
      <c r="E13" s="21"/>
      <c r="F13" s="27">
        <f>SUM(F11:F12)</f>
        <v>470323000</v>
      </c>
      <c r="G13" s="26">
        <f t="shared" si="0"/>
        <v>34971494</v>
      </c>
      <c r="H13" s="27">
        <f>SUM(H11:H12)</f>
        <v>435351506</v>
      </c>
      <c r="J13" s="27"/>
      <c r="K13" s="27"/>
      <c r="M13" s="21" t="s">
        <v>170</v>
      </c>
      <c r="N13" s="27">
        <v>825000</v>
      </c>
    </row>
    <row r="14" spans="13:14" ht="14.25">
      <c r="M14" s="21" t="s">
        <v>14</v>
      </c>
      <c r="N14" s="32">
        <f>SUM(N7:N13)</f>
        <v>18028506</v>
      </c>
    </row>
    <row r="15" ht="14.25">
      <c r="B15" s="23" t="s">
        <v>215</v>
      </c>
    </row>
    <row r="16" ht="14.25">
      <c r="C16" s="25"/>
    </row>
    <row r="17" spans="2:4" ht="14.25">
      <c r="B17" s="23" t="s">
        <v>216</v>
      </c>
      <c r="C17" s="25">
        <f>F13</f>
        <v>470323000</v>
      </c>
      <c r="D17" s="23" t="s">
        <v>214</v>
      </c>
    </row>
    <row r="18" spans="2:4" ht="14.25">
      <c r="B18" s="23" t="s">
        <v>217</v>
      </c>
      <c r="C18" s="25">
        <v>20000000</v>
      </c>
      <c r="D18" s="23" t="s">
        <v>218</v>
      </c>
    </row>
    <row r="19" spans="3:4" ht="14.25">
      <c r="C19" s="25">
        <v>50000000</v>
      </c>
      <c r="D19" s="23" t="s">
        <v>219</v>
      </c>
    </row>
    <row r="20" spans="3:4" ht="14.25">
      <c r="C20" s="25">
        <v>30000000</v>
      </c>
      <c r="D20" s="23" t="s">
        <v>220</v>
      </c>
    </row>
    <row r="21" ht="14.25">
      <c r="C21" s="25"/>
    </row>
    <row r="22" spans="2:3" ht="14.25">
      <c r="B22" s="23" t="s">
        <v>227</v>
      </c>
      <c r="C22" s="25">
        <f>SUM(C17:C21)</f>
        <v>570323000</v>
      </c>
    </row>
    <row r="24" spans="3:5" ht="14.25">
      <c r="C24" s="25"/>
      <c r="D24" s="25"/>
      <c r="E24" s="25"/>
    </row>
    <row r="25" spans="3:5" ht="14.25">
      <c r="C25" s="25"/>
      <c r="D25" s="25"/>
      <c r="E25" s="25"/>
    </row>
    <row r="26" spans="3:5" ht="14.25">
      <c r="C26" s="25"/>
      <c r="D26" s="25"/>
      <c r="E26" s="25"/>
    </row>
    <row r="27" spans="3:5" ht="14.25">
      <c r="C27" s="25"/>
      <c r="D27" s="25"/>
      <c r="E27" s="25"/>
    </row>
    <row r="28" spans="3:5" ht="14.25">
      <c r="C28" s="25"/>
      <c r="D28" s="25"/>
      <c r="E28" s="25"/>
    </row>
    <row r="29" spans="3:5" ht="14.25">
      <c r="C29" s="25"/>
      <c r="D29" s="25"/>
      <c r="E29" s="25"/>
    </row>
    <row r="30" spans="3:5" ht="14.25">
      <c r="C30" s="25"/>
      <c r="D30" s="25"/>
      <c r="E30" s="25"/>
    </row>
    <row r="31" spans="3:5" ht="14.25">
      <c r="C31" s="25"/>
      <c r="D31" s="25"/>
      <c r="E31" s="25"/>
    </row>
    <row r="32" spans="3:5" ht="14.25">
      <c r="C32" s="25"/>
      <c r="D32" s="25"/>
      <c r="E32" s="25"/>
    </row>
    <row r="33" spans="3:5" ht="14.25">
      <c r="C33" s="25"/>
      <c r="D33" s="25"/>
      <c r="E33" s="25"/>
    </row>
    <row r="34" spans="3:5" ht="14.25">
      <c r="C34" s="25"/>
      <c r="D34" s="25"/>
      <c r="E34" s="25"/>
    </row>
    <row r="36" ht="14.25">
      <c r="D36" s="47"/>
    </row>
  </sheetData>
  <sheetProtection/>
  <mergeCells count="1">
    <mergeCell ref="B7:B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G32" sqref="G32"/>
    </sheetView>
  </sheetViews>
  <sheetFormatPr defaultColWidth="12.140625" defaultRowHeight="12.75"/>
  <cols>
    <col min="1" max="1" width="5.00390625" style="1" customWidth="1"/>
    <col min="2" max="2" width="23.140625" style="1" bestFit="1" customWidth="1"/>
    <col min="3" max="4" width="15.140625" style="1" bestFit="1" customWidth="1"/>
    <col min="5" max="5" width="15.28125" style="1" bestFit="1" customWidth="1"/>
    <col min="6" max="9" width="16.57421875" style="1" bestFit="1" customWidth="1"/>
    <col min="10" max="10" width="12.140625" style="1" customWidth="1"/>
    <col min="11" max="11" width="16.7109375" style="1" customWidth="1"/>
    <col min="12" max="16384" width="12.140625" style="1" customWidth="1"/>
  </cols>
  <sheetData>
    <row r="2" ht="14.25">
      <c r="B2" s="1" t="s">
        <v>0</v>
      </c>
    </row>
    <row r="3" spans="2:8" ht="14.25">
      <c r="B3" s="2" t="s">
        <v>1</v>
      </c>
      <c r="C3" s="2" t="s">
        <v>64</v>
      </c>
      <c r="D3" s="2" t="s">
        <v>65</v>
      </c>
      <c r="E3" s="20" t="s">
        <v>66</v>
      </c>
      <c r="F3" s="20" t="s">
        <v>67</v>
      </c>
      <c r="G3" s="20" t="s">
        <v>68</v>
      </c>
      <c r="H3" s="20" t="s">
        <v>69</v>
      </c>
    </row>
    <row r="4" spans="2:8" ht="14.25">
      <c r="B4" s="3" t="s">
        <v>2</v>
      </c>
      <c r="C4" s="4">
        <v>0</v>
      </c>
      <c r="D4" s="4">
        <f>C7</f>
        <v>282224</v>
      </c>
      <c r="E4" s="4">
        <f>D7</f>
        <v>282224</v>
      </c>
      <c r="F4" s="4">
        <f>E7</f>
        <v>282224</v>
      </c>
      <c r="G4" s="4">
        <f>F7</f>
        <v>282224</v>
      </c>
      <c r="H4" s="4">
        <f>G7</f>
        <v>282224</v>
      </c>
    </row>
    <row r="5" spans="2:8" ht="14.25">
      <c r="B5" s="3" t="s">
        <v>3</v>
      </c>
      <c r="C5" s="4">
        <f>재무제표!L12</f>
        <v>4217776</v>
      </c>
      <c r="D5" s="4"/>
      <c r="E5" s="4"/>
      <c r="F5" s="4"/>
      <c r="G5" s="3"/>
      <c r="H5" s="3"/>
    </row>
    <row r="6" spans="2:8" ht="14.25">
      <c r="B6" s="3" t="s">
        <v>4</v>
      </c>
      <c r="C6" s="4">
        <v>4500000</v>
      </c>
      <c r="D6" s="4"/>
      <c r="E6" s="4"/>
      <c r="F6" s="4"/>
      <c r="G6" s="3"/>
      <c r="H6" s="3"/>
    </row>
    <row r="7" spans="2:8" ht="14.25">
      <c r="B7" s="3" t="s">
        <v>5</v>
      </c>
      <c r="C7" s="4">
        <f aca="true" t="shared" si="0" ref="C7:H7">C4-C5+C6</f>
        <v>282224</v>
      </c>
      <c r="D7" s="4">
        <f t="shared" si="0"/>
        <v>282224</v>
      </c>
      <c r="E7" s="4">
        <f t="shared" si="0"/>
        <v>282224</v>
      </c>
      <c r="F7" s="4">
        <f t="shared" si="0"/>
        <v>282224</v>
      </c>
      <c r="G7" s="4">
        <f t="shared" si="0"/>
        <v>282224</v>
      </c>
      <c r="H7" s="4">
        <f t="shared" si="0"/>
        <v>282224</v>
      </c>
    </row>
    <row r="8" spans="3:6" ht="14.25">
      <c r="C8" s="5"/>
      <c r="D8" s="5"/>
      <c r="E8" s="5"/>
      <c r="F8" s="5"/>
    </row>
    <row r="9" spans="2:8" ht="14.25">
      <c r="B9" s="3" t="s">
        <v>6</v>
      </c>
      <c r="C9" s="4">
        <v>2854070</v>
      </c>
      <c r="D9" s="4"/>
      <c r="E9" s="4"/>
      <c r="F9" s="4"/>
      <c r="G9" s="3"/>
      <c r="H9" s="3"/>
    </row>
    <row r="10" spans="2:8" ht="14.25">
      <c r="B10" s="3" t="s">
        <v>7</v>
      </c>
      <c r="C10" s="4">
        <f aca="true" t="shared" si="1" ref="C10:H10">C6-C9</f>
        <v>1645930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3">
        <f t="shared" si="1"/>
        <v>0</v>
      </c>
      <c r="H10" s="3">
        <f t="shared" si="1"/>
        <v>0</v>
      </c>
    </row>
    <row r="11" spans="3:6" ht="14.25">
      <c r="C11" s="5"/>
      <c r="D11" s="5"/>
      <c r="E11" s="5"/>
      <c r="F11" s="5"/>
    </row>
    <row r="12" spans="2:8" ht="14.25">
      <c r="B12" s="3" t="s">
        <v>8</v>
      </c>
      <c r="C12" s="3">
        <f>MAX(C9-C5,0)</f>
        <v>0</v>
      </c>
      <c r="D12" s="3">
        <f>MAX(C12+D9-D5,0)</f>
        <v>0</v>
      </c>
      <c r="E12" s="3">
        <f>MAX(D12+E9-E5,0)</f>
        <v>0</v>
      </c>
      <c r="F12" s="3">
        <f>MAX(E12+F9-F5,0)</f>
        <v>0</v>
      </c>
      <c r="G12" s="3">
        <f>MAX(F12+G9-G5,0)</f>
        <v>0</v>
      </c>
      <c r="H12" s="3">
        <f>MAX(G12+H9-H5,0)</f>
        <v>0</v>
      </c>
    </row>
    <row r="13" spans="2:8" ht="14.25">
      <c r="B13" s="3" t="s">
        <v>9</v>
      </c>
      <c r="C13" s="3">
        <f aca="true" t="shared" si="2" ref="C13:H13">C7-C12</f>
        <v>282224</v>
      </c>
      <c r="D13" s="3">
        <f t="shared" si="2"/>
        <v>282224</v>
      </c>
      <c r="E13" s="3">
        <f t="shared" si="2"/>
        <v>282224</v>
      </c>
      <c r="F13" s="3">
        <f t="shared" si="2"/>
        <v>282224</v>
      </c>
      <c r="G13" s="3">
        <f t="shared" si="2"/>
        <v>282224</v>
      </c>
      <c r="H13" s="3">
        <f t="shared" si="2"/>
        <v>282224</v>
      </c>
    </row>
    <row r="15" ht="14.25">
      <c r="B15" s="1" t="s">
        <v>10</v>
      </c>
    </row>
    <row r="16" spans="2:9" ht="14.25">
      <c r="B16" s="185" t="s">
        <v>11</v>
      </c>
      <c r="C16" s="185" t="s">
        <v>12</v>
      </c>
      <c r="D16" s="185"/>
      <c r="E16" s="185"/>
      <c r="F16" s="185" t="s">
        <v>13</v>
      </c>
      <c r="G16" s="185"/>
      <c r="H16" s="185"/>
      <c r="I16" s="185" t="s">
        <v>14</v>
      </c>
    </row>
    <row r="17" spans="2:9" ht="14.25">
      <c r="B17" s="185"/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17</v>
      </c>
      <c r="I17" s="185"/>
    </row>
    <row r="18" spans="2:9" ht="14.25">
      <c r="B18" s="3" t="s">
        <v>20</v>
      </c>
      <c r="C18" s="4">
        <f>재무제표!J30</f>
        <v>42752</v>
      </c>
      <c r="D18" s="4">
        <f>재무제표!J10</f>
        <v>8800000</v>
      </c>
      <c r="E18" s="4">
        <f>SUM(C18:D18)</f>
        <v>8842752</v>
      </c>
      <c r="F18" s="4">
        <v>4217776</v>
      </c>
      <c r="G18" s="4">
        <v>103000000</v>
      </c>
      <c r="H18" s="3">
        <f>SUM(F18:G18)</f>
        <v>107217776</v>
      </c>
      <c r="I18" s="3">
        <f>SUM(H18,E18)</f>
        <v>116060528</v>
      </c>
    </row>
    <row r="19" spans="2:9" ht="14.25">
      <c r="B19" s="3" t="s">
        <v>21</v>
      </c>
      <c r="C19" s="4"/>
      <c r="D19" s="4">
        <v>7634612</v>
      </c>
      <c r="E19" s="4">
        <f>SUM(C19:D19)</f>
        <v>7634612</v>
      </c>
      <c r="F19" s="4"/>
      <c r="G19" s="4">
        <v>60424101</v>
      </c>
      <c r="H19" s="7">
        <f>SUM(F19:G19)</f>
        <v>60424101</v>
      </c>
      <c r="I19" s="3">
        <f>SUM(H19,E19)</f>
        <v>68058713</v>
      </c>
    </row>
    <row r="20" spans="2:9" ht="14.25">
      <c r="B20" s="3" t="s">
        <v>22</v>
      </c>
      <c r="C20" s="4">
        <f>C18-C19</f>
        <v>42752</v>
      </c>
      <c r="D20" s="4">
        <f>D18-D19</f>
        <v>1165388</v>
      </c>
      <c r="E20" s="4">
        <f>SUM(C20:D20)</f>
        <v>1208140</v>
      </c>
      <c r="F20" s="4">
        <f>F18-F19</f>
        <v>4217776</v>
      </c>
      <c r="G20" s="4">
        <f>G18-G19</f>
        <v>42575899</v>
      </c>
      <c r="H20" s="3">
        <f>SUM(F20:G20)</f>
        <v>46793675</v>
      </c>
      <c r="I20" s="3">
        <f>SUM(H20,E20)</f>
        <v>48001815</v>
      </c>
    </row>
    <row r="21" spans="2:9" s="8" customFormat="1" ht="14.25">
      <c r="B21" s="9" t="s">
        <v>51</v>
      </c>
      <c r="C21" s="10"/>
      <c r="D21" s="10"/>
      <c r="E21" s="10">
        <f>C10</f>
        <v>1645930</v>
      </c>
      <c r="F21" s="10"/>
      <c r="G21" s="10"/>
      <c r="H21" s="11">
        <f aca="true" t="shared" si="3" ref="H21:H32">SUM(F21:G21)</f>
        <v>0</v>
      </c>
      <c r="I21" s="11">
        <f aca="true" t="shared" si="4" ref="I21:I32">E21+H21</f>
        <v>1645930</v>
      </c>
    </row>
    <row r="22" spans="2:9" s="8" customFormat="1" ht="14.25">
      <c r="B22" s="9" t="s">
        <v>50</v>
      </c>
      <c r="C22" s="10"/>
      <c r="D22" s="10"/>
      <c r="E22" s="10">
        <f>SUM(E20:E21)</f>
        <v>2854070</v>
      </c>
      <c r="F22" s="10"/>
      <c r="G22" s="10"/>
      <c r="H22" s="11">
        <f t="shared" si="3"/>
        <v>0</v>
      </c>
      <c r="I22" s="11">
        <f t="shared" si="4"/>
        <v>2854070</v>
      </c>
    </row>
    <row r="23" spans="2:9" s="8" customFormat="1" ht="14.25">
      <c r="B23" s="9" t="s">
        <v>61</v>
      </c>
      <c r="C23" s="10"/>
      <c r="D23" s="10"/>
      <c r="E23" s="10">
        <f>SUM(E24:E25)</f>
        <v>2854070</v>
      </c>
      <c r="F23" s="10"/>
      <c r="G23" s="10"/>
      <c r="H23" s="11">
        <f t="shared" si="3"/>
        <v>0</v>
      </c>
      <c r="I23" s="11">
        <f t="shared" si="4"/>
        <v>2854070</v>
      </c>
    </row>
    <row r="24" spans="2:9" s="8" customFormat="1" ht="14.25">
      <c r="B24" s="19" t="s">
        <v>56</v>
      </c>
      <c r="C24" s="10"/>
      <c r="D24" s="10"/>
      <c r="E24" s="10">
        <f>C9</f>
        <v>2854070</v>
      </c>
      <c r="F24" s="10"/>
      <c r="G24" s="10"/>
      <c r="H24" s="11"/>
      <c r="I24" s="11"/>
    </row>
    <row r="25" spans="2:9" s="8" customFormat="1" ht="14.25">
      <c r="B25" s="19" t="s">
        <v>57</v>
      </c>
      <c r="C25" s="10"/>
      <c r="D25" s="10"/>
      <c r="E25" s="10"/>
      <c r="F25" s="10"/>
      <c r="G25" s="10"/>
      <c r="H25" s="11"/>
      <c r="I25" s="11"/>
    </row>
    <row r="26" spans="2:9" s="8" customFormat="1" ht="14.25">
      <c r="B26" s="9" t="s">
        <v>62</v>
      </c>
      <c r="C26" s="10"/>
      <c r="D26" s="10"/>
      <c r="E26" s="10">
        <f>SUM(E27:E29)</f>
        <v>313947</v>
      </c>
      <c r="F26" s="10"/>
      <c r="G26" s="10"/>
      <c r="H26" s="11">
        <f t="shared" si="3"/>
        <v>0</v>
      </c>
      <c r="I26" s="11">
        <f t="shared" si="4"/>
        <v>313947</v>
      </c>
    </row>
    <row r="27" spans="2:9" s="8" customFormat="1" ht="14.25">
      <c r="B27" s="19" t="s">
        <v>58</v>
      </c>
      <c r="C27" s="10"/>
      <c r="D27" s="10"/>
      <c r="E27" s="10"/>
      <c r="F27" s="10"/>
      <c r="G27" s="10"/>
      <c r="H27" s="11"/>
      <c r="I27" s="11"/>
    </row>
    <row r="28" spans="2:9" s="8" customFormat="1" ht="14.25">
      <c r="B28" s="19" t="s">
        <v>59</v>
      </c>
      <c r="C28" s="10"/>
      <c r="D28" s="10"/>
      <c r="E28" s="10">
        <f>법인세!C31+법인세!C38</f>
        <v>313947</v>
      </c>
      <c r="F28" s="10"/>
      <c r="G28" s="10"/>
      <c r="H28" s="11"/>
      <c r="I28" s="11"/>
    </row>
    <row r="29" spans="2:9" s="8" customFormat="1" ht="14.25">
      <c r="B29" s="19" t="s">
        <v>60</v>
      </c>
      <c r="C29" s="10"/>
      <c r="D29" s="10"/>
      <c r="E29" s="10"/>
      <c r="F29" s="10"/>
      <c r="G29" s="10"/>
      <c r="H29" s="11"/>
      <c r="I29" s="11"/>
    </row>
    <row r="30" spans="2:9" s="8" customFormat="1" ht="14.25">
      <c r="B30" s="9" t="s">
        <v>52</v>
      </c>
      <c r="C30" s="10"/>
      <c r="D30" s="10"/>
      <c r="E30" s="10">
        <f>E22+E23-E26</f>
        <v>5394193</v>
      </c>
      <c r="F30" s="10">
        <f>SUM(F20:F23)</f>
        <v>4217776</v>
      </c>
      <c r="G30" s="10">
        <f>SUM(G20:G23)</f>
        <v>42575899</v>
      </c>
      <c r="H30" s="11">
        <f t="shared" si="3"/>
        <v>46793675</v>
      </c>
      <c r="I30" s="11">
        <f t="shared" si="4"/>
        <v>52187868</v>
      </c>
    </row>
    <row r="31" spans="2:9" s="8" customFormat="1" ht="14.25">
      <c r="B31" s="9" t="s">
        <v>53</v>
      </c>
      <c r="C31" s="10"/>
      <c r="D31" s="10"/>
      <c r="E31" s="10"/>
      <c r="F31" s="10"/>
      <c r="G31" s="10"/>
      <c r="H31" s="11">
        <f t="shared" si="3"/>
        <v>0</v>
      </c>
      <c r="I31" s="11">
        <f t="shared" si="4"/>
        <v>0</v>
      </c>
    </row>
    <row r="32" spans="2:9" s="8" customFormat="1" ht="14.25">
      <c r="B32" s="9" t="s">
        <v>54</v>
      </c>
      <c r="C32" s="10"/>
      <c r="D32" s="10"/>
      <c r="E32" s="10"/>
      <c r="F32" s="10">
        <f>F30-F31</f>
        <v>4217776</v>
      </c>
      <c r="G32" s="10">
        <f>G30-G31</f>
        <v>42575899</v>
      </c>
      <c r="H32" s="11">
        <f t="shared" si="3"/>
        <v>46793675</v>
      </c>
      <c r="I32" s="11">
        <f t="shared" si="4"/>
        <v>46793675</v>
      </c>
    </row>
    <row r="33" spans="2:9" s="8" customFormat="1" ht="14.25">
      <c r="B33" s="9" t="s">
        <v>55</v>
      </c>
      <c r="C33" s="10"/>
      <c r="D33" s="10"/>
      <c r="E33" s="10">
        <f>SUM(E30:E32)</f>
        <v>5394193</v>
      </c>
      <c r="F33" s="10"/>
      <c r="G33" s="10"/>
      <c r="H33" s="11"/>
      <c r="I33" s="11"/>
    </row>
    <row r="34" spans="3:9" s="8" customFormat="1" ht="14.25">
      <c r="C34" s="12"/>
      <c r="D34" s="12"/>
      <c r="E34" s="12"/>
      <c r="F34" s="12"/>
      <c r="G34" s="12"/>
      <c r="H34" s="13"/>
      <c r="I34" s="13"/>
    </row>
    <row r="35" spans="3:9" s="8" customFormat="1" ht="14.25">
      <c r="C35" s="12"/>
      <c r="D35" s="12"/>
      <c r="E35" s="12"/>
      <c r="F35" s="12"/>
      <c r="G35" s="12"/>
      <c r="H35" s="13"/>
      <c r="I35" s="13"/>
    </row>
    <row r="36" ht="14.25">
      <c r="B36" s="1" t="s">
        <v>41</v>
      </c>
    </row>
    <row r="37" spans="2:6" ht="14.25">
      <c r="B37" s="14" t="s">
        <v>42</v>
      </c>
      <c r="C37" s="6" t="s">
        <v>43</v>
      </c>
      <c r="D37" s="6" t="s">
        <v>44</v>
      </c>
      <c r="E37" s="6" t="s">
        <v>45</v>
      </c>
      <c r="F37" s="6" t="s">
        <v>46</v>
      </c>
    </row>
    <row r="38" spans="2:6" ht="14.25">
      <c r="B38" s="14">
        <v>2019</v>
      </c>
      <c r="C38" s="3">
        <f>E33</f>
        <v>5394193</v>
      </c>
      <c r="D38" s="3"/>
      <c r="E38" s="3"/>
      <c r="F38" s="4">
        <f>C38-D38-E38</f>
        <v>5394193</v>
      </c>
    </row>
    <row r="39" spans="2:6" ht="14.25">
      <c r="B39" s="14">
        <v>2020</v>
      </c>
      <c r="C39" s="3"/>
      <c r="D39" s="3"/>
      <c r="E39" s="3"/>
      <c r="F39" s="4">
        <f>C39-D39-E39</f>
        <v>0</v>
      </c>
    </row>
    <row r="40" spans="2:6" ht="14.25">
      <c r="B40" s="14">
        <v>2021</v>
      </c>
      <c r="C40" s="3"/>
      <c r="D40" s="3"/>
      <c r="E40" s="3"/>
      <c r="F40" s="4">
        <f>C40-D40-E40</f>
        <v>0</v>
      </c>
    </row>
    <row r="41" spans="2:6" ht="14.25">
      <c r="B41" s="14" t="s">
        <v>47</v>
      </c>
      <c r="C41" s="3">
        <f>SUM(C38:C40)</f>
        <v>5394193</v>
      </c>
      <c r="D41" s="3">
        <f>SUM(D38:D40)</f>
        <v>0</v>
      </c>
      <c r="E41" s="3">
        <f>SUM(E38:E40)</f>
        <v>0</v>
      </c>
      <c r="F41" s="4">
        <f>C41-D41-E41</f>
        <v>5394193</v>
      </c>
    </row>
    <row r="42" spans="2:5" ht="14.25">
      <c r="B42" s="16" t="s">
        <v>48</v>
      </c>
      <c r="E42" s="17"/>
    </row>
    <row r="43" spans="2:6" ht="14.25">
      <c r="B43" s="14" t="s">
        <v>42</v>
      </c>
      <c r="C43" s="6" t="s">
        <v>43</v>
      </c>
      <c r="D43" s="6" t="s">
        <v>44</v>
      </c>
      <c r="E43" s="18" t="s">
        <v>45</v>
      </c>
      <c r="F43" s="6" t="s">
        <v>46</v>
      </c>
    </row>
    <row r="44" spans="2:6" ht="14.25">
      <c r="B44" s="14">
        <v>2019</v>
      </c>
      <c r="C44" s="3">
        <f>재무제표!G42+G18</f>
        <v>570323000</v>
      </c>
      <c r="D44" s="3"/>
      <c r="E44" s="15">
        <f>C44-I32</f>
        <v>523529325</v>
      </c>
      <c r="F44" s="4">
        <f>C44-D44-E44</f>
        <v>46793675</v>
      </c>
    </row>
    <row r="45" spans="2:6" ht="14.25">
      <c r="B45" s="14">
        <v>2020</v>
      </c>
      <c r="C45" s="3"/>
      <c r="D45" s="3"/>
      <c r="E45" s="3"/>
      <c r="F45" s="4">
        <f>C45-D45-E45</f>
        <v>0</v>
      </c>
    </row>
    <row r="46" spans="2:6" ht="14.25">
      <c r="B46" s="14">
        <v>2021</v>
      </c>
      <c r="C46" s="3"/>
      <c r="D46" s="3"/>
      <c r="E46" s="15"/>
      <c r="F46" s="4">
        <f>C46-D46-E46</f>
        <v>0</v>
      </c>
    </row>
    <row r="47" spans="2:6" ht="14.25">
      <c r="B47" s="14" t="s">
        <v>47</v>
      </c>
      <c r="C47" s="3">
        <f>SUM(C44:C46)</f>
        <v>570323000</v>
      </c>
      <c r="D47" s="3">
        <f>SUM(D44:D46)</f>
        <v>0</v>
      </c>
      <c r="E47" s="3">
        <f>SUM(E44:E46)</f>
        <v>523529325</v>
      </c>
      <c r="F47" s="3">
        <f>SUM(F44:F46)</f>
        <v>46793675</v>
      </c>
    </row>
    <row r="48" ht="14.25">
      <c r="E48" s="17"/>
    </row>
    <row r="49" spans="2:6" ht="14.25">
      <c r="B49" s="3" t="s">
        <v>49</v>
      </c>
      <c r="C49" s="3"/>
      <c r="D49" s="3"/>
      <c r="E49" s="7">
        <f>E41+E47</f>
        <v>523529325</v>
      </c>
      <c r="F49" s="3">
        <v>1122972586</v>
      </c>
    </row>
  </sheetData>
  <sheetProtection/>
  <mergeCells count="4">
    <mergeCell ref="B16:B17"/>
    <mergeCell ref="C16:E16"/>
    <mergeCell ref="F16:H16"/>
    <mergeCell ref="I16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DuzonBizon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kisu yoo</cp:lastModifiedBy>
  <cp:lastPrinted>2020-03-25T06:20:35Z</cp:lastPrinted>
  <dcterms:created xsi:type="dcterms:W3CDTF">2018-02-07T08:51:24Z</dcterms:created>
  <dcterms:modified xsi:type="dcterms:W3CDTF">2020-04-06T08:03:18Z</dcterms:modified>
  <cp:category/>
  <cp:version/>
  <cp:contentType/>
  <cp:contentStatus/>
</cp:coreProperties>
</file>